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9\ASEH-2019\MPIO DE TECOZAUTLA 3ER TRIMESTRE 2019\3er TRIMESTRE 2019 EDOS FINANCIEROS\"/>
    </mc:Choice>
  </mc:AlternateContent>
  <bookViews>
    <workbookView xWindow="0" yWindow="8820" windowWidth="24000" windowHeight="9735" firstSheet="28" activeTab="32"/>
  </bookViews>
  <sheets>
    <sheet name="MAR 16" sheetId="4" r:id="rId1"/>
    <sheet name="JUN 16" sheetId="3" r:id="rId2"/>
    <sheet name="SEP 16" sheetId="2" r:id="rId3"/>
    <sheet name="DIC 16" sheetId="1" r:id="rId4"/>
    <sheet name="ENE 17" sheetId="12" r:id="rId5"/>
    <sheet name="FEB17" sheetId="10" r:id="rId6"/>
    <sheet name="MAR 17" sheetId="5" r:id="rId7"/>
    <sheet name="ABRIL 17" sheetId="6" r:id="rId8"/>
    <sheet name="MAYO17" sheetId="7" r:id="rId9"/>
    <sheet name="JUNIO" sheetId="8" r:id="rId10"/>
    <sheet name="JULIO " sheetId="13" r:id="rId11"/>
    <sheet name="AGOSTO" sheetId="17" r:id="rId12"/>
    <sheet name="SEPT" sheetId="19" r:id="rId13"/>
    <sheet name="DIC 2017" sheetId="21" r:id="rId14"/>
    <sheet name="ENERO 2018" sheetId="25" r:id="rId15"/>
    <sheet name="FEBR 18" sheetId="26" r:id="rId16"/>
    <sheet name="MARZO 18" sheetId="27" r:id="rId17"/>
    <sheet name="ABRIL 18" sheetId="30" r:id="rId18"/>
    <sheet name="MAYO 18" sheetId="31" r:id="rId19"/>
    <sheet name="JUNIO 18" sheetId="29" r:id="rId20"/>
    <sheet name="JULIO 18" sheetId="32" r:id="rId21"/>
    <sheet name="AGOSTO 18" sheetId="33" r:id="rId22"/>
    <sheet name="OCTUBRE" sheetId="36" r:id="rId23"/>
    <sheet name="NOVIEMBRE" sheetId="35" r:id="rId24"/>
    <sheet name="DICIEMBRE" sheetId="34" r:id="rId25"/>
    <sheet name="ENERO 2019" sheetId="37" r:id="rId26"/>
    <sheet name="FEBR 2019" sheetId="39" r:id="rId27"/>
    <sheet name="MARZO 2019" sheetId="40" r:id="rId28"/>
    <sheet name="ABRIL 2019" sheetId="41" r:id="rId29"/>
    <sheet name="MAYO 19" sheetId="43" r:id="rId30"/>
    <sheet name="JUNIO 19" sheetId="42" r:id="rId31"/>
    <sheet name="JULIO19" sheetId="44" r:id="rId32"/>
    <sheet name="AGOSTO 19" sheetId="45" r:id="rId33"/>
    <sheet name="SEPTIEMBRE 19" sheetId="46" r:id="rId34"/>
    <sheet name="HOJA DE TRABAJO 2019" sheetId="38" r:id="rId35"/>
    <sheet name="HOJA DE TRABAJO 2018" sheetId="28" r:id="rId3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46" l="1"/>
  <c r="M16" i="46"/>
  <c r="M11" i="46"/>
  <c r="M12" i="46"/>
  <c r="M41" i="46"/>
  <c r="E41" i="46"/>
  <c r="M24" i="46"/>
  <c r="M22" i="46"/>
  <c r="H22" i="46"/>
  <c r="M21" i="46"/>
  <c r="M20" i="46"/>
  <c r="M19" i="46"/>
  <c r="M18" i="46"/>
  <c r="M17" i="46"/>
  <c r="M15" i="46"/>
  <c r="M14" i="46"/>
  <c r="M13" i="46"/>
  <c r="I12" i="46"/>
  <c r="J12" i="46"/>
  <c r="J11" i="46"/>
  <c r="F16" i="46" l="1"/>
  <c r="E38" i="46" l="1"/>
  <c r="J23" i="46"/>
  <c r="J16" i="46" l="1"/>
  <c r="H12" i="46"/>
  <c r="I11" i="46"/>
  <c r="H11" i="46"/>
  <c r="C11" i="46"/>
  <c r="I91" i="46" l="1"/>
  <c r="I85" i="46"/>
  <c r="H85" i="46"/>
  <c r="G85" i="46"/>
  <c r="F85" i="46"/>
  <c r="E85" i="46"/>
  <c r="D85" i="46"/>
  <c r="C85" i="46"/>
  <c r="B85" i="46"/>
  <c r="K84" i="46"/>
  <c r="M84" i="46" s="1"/>
  <c r="J84" i="46"/>
  <c r="J85" i="46" s="1"/>
  <c r="M83" i="46"/>
  <c r="K83" i="46"/>
  <c r="K82" i="46"/>
  <c r="M82" i="46" s="1"/>
  <c r="K81" i="46"/>
  <c r="M81" i="46" s="1"/>
  <c r="M80" i="46"/>
  <c r="K80" i="46"/>
  <c r="M79" i="46"/>
  <c r="K79" i="46"/>
  <c r="J78" i="46"/>
  <c r="I78" i="46"/>
  <c r="H78" i="46"/>
  <c r="G78" i="46"/>
  <c r="F78" i="46"/>
  <c r="E78" i="46"/>
  <c r="D78" i="46"/>
  <c r="C78" i="46"/>
  <c r="B78" i="46"/>
  <c r="K77" i="46"/>
  <c r="K78" i="46" s="1"/>
  <c r="M78" i="46" s="1"/>
  <c r="K76" i="46"/>
  <c r="M76" i="46" s="1"/>
  <c r="K75" i="46"/>
  <c r="M75" i="46" s="1"/>
  <c r="J74" i="46"/>
  <c r="I74" i="46"/>
  <c r="H74" i="46"/>
  <c r="G74" i="46"/>
  <c r="F74" i="46"/>
  <c r="E74" i="46"/>
  <c r="D74" i="46"/>
  <c r="C74" i="46"/>
  <c r="B74" i="46"/>
  <c r="M73" i="46"/>
  <c r="K73" i="46"/>
  <c r="M72" i="46"/>
  <c r="K72" i="46"/>
  <c r="K74" i="46" s="1"/>
  <c r="M74" i="46" s="1"/>
  <c r="J71" i="46"/>
  <c r="I71" i="46"/>
  <c r="H71" i="46"/>
  <c r="F71" i="46"/>
  <c r="E71" i="46"/>
  <c r="D71" i="46"/>
  <c r="C71" i="46"/>
  <c r="B71" i="46"/>
  <c r="K70" i="46"/>
  <c r="K71" i="46" s="1"/>
  <c r="G70" i="46"/>
  <c r="G71" i="46" s="1"/>
  <c r="I69" i="46"/>
  <c r="E69" i="46"/>
  <c r="D69" i="46"/>
  <c r="J68" i="46"/>
  <c r="K68" i="46" s="1"/>
  <c r="M68" i="46" s="1"/>
  <c r="G68" i="46"/>
  <c r="F68" i="46"/>
  <c r="L68" i="46" s="1"/>
  <c r="C68" i="46"/>
  <c r="B68" i="46"/>
  <c r="J67" i="46"/>
  <c r="H67" i="46"/>
  <c r="K67" i="46" s="1"/>
  <c r="M67" i="46" s="1"/>
  <c r="G67" i="46"/>
  <c r="C67" i="46"/>
  <c r="F67" i="46" s="1"/>
  <c r="L67" i="46" s="1"/>
  <c r="B67" i="46"/>
  <c r="K66" i="46"/>
  <c r="M66" i="46" s="1"/>
  <c r="G66" i="46"/>
  <c r="F66" i="46"/>
  <c r="L66" i="46" s="1"/>
  <c r="C66" i="46"/>
  <c r="B66" i="46"/>
  <c r="K65" i="46"/>
  <c r="G65" i="46"/>
  <c r="M65" i="46" s="1"/>
  <c r="C65" i="46"/>
  <c r="F65" i="46" s="1"/>
  <c r="L65" i="46" s="1"/>
  <c r="K64" i="46"/>
  <c r="F64" i="46"/>
  <c r="L64" i="46" s="1"/>
  <c r="C64" i="46"/>
  <c r="G64" i="46" s="1"/>
  <c r="M64" i="46" s="1"/>
  <c r="B64" i="46"/>
  <c r="K63" i="46"/>
  <c r="M63" i="46" s="1"/>
  <c r="J63" i="46"/>
  <c r="F63" i="46"/>
  <c r="L63" i="46" s="1"/>
  <c r="C63" i="46"/>
  <c r="G63" i="46" s="1"/>
  <c r="B63" i="46"/>
  <c r="K62" i="46"/>
  <c r="C62" i="46"/>
  <c r="B62" i="46" s="1"/>
  <c r="K61" i="46"/>
  <c r="G61" i="46"/>
  <c r="M61" i="46" s="1"/>
  <c r="C61" i="46"/>
  <c r="F61" i="46" s="1"/>
  <c r="L61" i="46" s="1"/>
  <c r="B61" i="46"/>
  <c r="M60" i="46"/>
  <c r="K60" i="46"/>
  <c r="G60" i="46"/>
  <c r="F60" i="46"/>
  <c r="L60" i="46" s="1"/>
  <c r="C60" i="46"/>
  <c r="B60" i="46" s="1"/>
  <c r="M59" i="46"/>
  <c r="K59" i="46"/>
  <c r="J59" i="46"/>
  <c r="G59" i="46"/>
  <c r="F59" i="46"/>
  <c r="L59" i="46" s="1"/>
  <c r="C59" i="46"/>
  <c r="L58" i="46"/>
  <c r="J58" i="46"/>
  <c r="K58" i="46" s="1"/>
  <c r="I58" i="46"/>
  <c r="H58" i="46"/>
  <c r="H69" i="46" s="1"/>
  <c r="H86" i="46" s="1"/>
  <c r="G58" i="46"/>
  <c r="F58" i="46"/>
  <c r="C58" i="46"/>
  <c r="C69" i="46" s="1"/>
  <c r="F69" i="46" s="1"/>
  <c r="B58" i="46"/>
  <c r="H57" i="46"/>
  <c r="D57" i="46"/>
  <c r="D86" i="46" s="1"/>
  <c r="B57" i="46"/>
  <c r="K56" i="46"/>
  <c r="M56" i="46" s="1"/>
  <c r="J56" i="46"/>
  <c r="F56" i="46"/>
  <c r="L56" i="46" s="1"/>
  <c r="C56" i="46"/>
  <c r="G56" i="46" s="1"/>
  <c r="J55" i="46"/>
  <c r="K55" i="46" s="1"/>
  <c r="C55" i="46"/>
  <c r="G55" i="46" s="1"/>
  <c r="M54" i="46"/>
  <c r="K54" i="46"/>
  <c r="G54" i="46"/>
  <c r="F54" i="46"/>
  <c r="L54" i="46" s="1"/>
  <c r="C54" i="46"/>
  <c r="L53" i="46"/>
  <c r="J53" i="46"/>
  <c r="K53" i="46" s="1"/>
  <c r="M53" i="46" s="1"/>
  <c r="I53" i="46"/>
  <c r="G53" i="46"/>
  <c r="F53" i="46"/>
  <c r="C53" i="46"/>
  <c r="L52" i="46"/>
  <c r="J52" i="46"/>
  <c r="K52" i="46" s="1"/>
  <c r="M52" i="46" s="1"/>
  <c r="I52" i="46"/>
  <c r="G52" i="46"/>
  <c r="F52" i="46"/>
  <c r="C52" i="46"/>
  <c r="L51" i="46"/>
  <c r="K51" i="46"/>
  <c r="M51" i="46" s="1"/>
  <c r="G51" i="46"/>
  <c r="C51" i="46"/>
  <c r="L50" i="46"/>
  <c r="K50" i="46"/>
  <c r="C50" i="46"/>
  <c r="G50" i="46" s="1"/>
  <c r="M50" i="46" s="1"/>
  <c r="M49" i="46"/>
  <c r="K49" i="46"/>
  <c r="G49" i="46"/>
  <c r="F49" i="46"/>
  <c r="L49" i="46" s="1"/>
  <c r="C49" i="46"/>
  <c r="J48" i="46"/>
  <c r="K48" i="46" s="1"/>
  <c r="M48" i="46" s="1"/>
  <c r="C48" i="46"/>
  <c r="G48" i="46" s="1"/>
  <c r="K47" i="46"/>
  <c r="M47" i="46" s="1"/>
  <c r="G47" i="46"/>
  <c r="F47" i="46"/>
  <c r="L47" i="46" s="1"/>
  <c r="C47" i="46"/>
  <c r="K46" i="46"/>
  <c r="F46" i="46"/>
  <c r="L46" i="46" s="1"/>
  <c r="C46" i="46"/>
  <c r="C57" i="46" s="1"/>
  <c r="C86" i="46" s="1"/>
  <c r="K45" i="46"/>
  <c r="G45" i="46"/>
  <c r="M45" i="46" s="1"/>
  <c r="C45" i="46"/>
  <c r="F45" i="46" s="1"/>
  <c r="L45" i="46" s="1"/>
  <c r="M44" i="46"/>
  <c r="K44" i="46"/>
  <c r="J44" i="46"/>
  <c r="G44" i="46"/>
  <c r="F44" i="46"/>
  <c r="L44" i="46" s="1"/>
  <c r="E44" i="46"/>
  <c r="E57" i="46" s="1"/>
  <c r="E86" i="46" s="1"/>
  <c r="L43" i="46"/>
  <c r="J43" i="46"/>
  <c r="K43" i="46" s="1"/>
  <c r="I43" i="46"/>
  <c r="I57" i="46" s="1"/>
  <c r="I86" i="46" s="1"/>
  <c r="G43" i="46"/>
  <c r="F43" i="46"/>
  <c r="C43" i="46"/>
  <c r="I42" i="46"/>
  <c r="C42" i="46"/>
  <c r="K41" i="46"/>
  <c r="F41" i="46"/>
  <c r="L41" i="46" s="1"/>
  <c r="D41" i="46"/>
  <c r="G41" i="46" s="1"/>
  <c r="L40" i="46"/>
  <c r="K40" i="46"/>
  <c r="G40" i="46"/>
  <c r="M40" i="46" s="1"/>
  <c r="F40" i="46"/>
  <c r="D40" i="46"/>
  <c r="D42" i="46" s="1"/>
  <c r="M39" i="46"/>
  <c r="L39" i="46"/>
  <c r="K39" i="46"/>
  <c r="G39" i="46"/>
  <c r="F39" i="46"/>
  <c r="J38" i="46"/>
  <c r="I38" i="46"/>
  <c r="K38" i="46" s="1"/>
  <c r="G38" i="46"/>
  <c r="F38" i="46"/>
  <c r="L38" i="46" s="1"/>
  <c r="H37" i="46"/>
  <c r="H42" i="46" s="1"/>
  <c r="G37" i="46"/>
  <c r="F37" i="46"/>
  <c r="L37" i="46" s="1"/>
  <c r="L36" i="46"/>
  <c r="K36" i="46"/>
  <c r="E36" i="46"/>
  <c r="G36" i="46" s="1"/>
  <c r="M35" i="46"/>
  <c r="L35" i="46"/>
  <c r="K35" i="46"/>
  <c r="G35" i="46"/>
  <c r="E35" i="46"/>
  <c r="L34" i="46"/>
  <c r="K34" i="46"/>
  <c r="G34" i="46"/>
  <c r="M34" i="46" s="1"/>
  <c r="L33" i="46"/>
  <c r="K33" i="46"/>
  <c r="E33" i="46"/>
  <c r="G33" i="46" s="1"/>
  <c r="K32" i="46"/>
  <c r="M32" i="46" s="1"/>
  <c r="F32" i="46"/>
  <c r="L32" i="46" s="1"/>
  <c r="E32" i="46"/>
  <c r="G32" i="46" s="1"/>
  <c r="J31" i="46"/>
  <c r="K31" i="46" s="1"/>
  <c r="G31" i="46"/>
  <c r="E31" i="46"/>
  <c r="F31" i="46" s="1"/>
  <c r="L31" i="46" s="1"/>
  <c r="K30" i="46"/>
  <c r="E30" i="46"/>
  <c r="G30" i="46" s="1"/>
  <c r="K29" i="46"/>
  <c r="M29" i="46" s="1"/>
  <c r="G29" i="46"/>
  <c r="F29" i="46"/>
  <c r="L29" i="46" s="1"/>
  <c r="K28" i="46"/>
  <c r="M28" i="46" s="1"/>
  <c r="G28" i="46"/>
  <c r="F28" i="46"/>
  <c r="L28" i="46" s="1"/>
  <c r="K27" i="46"/>
  <c r="M27" i="46" s="1"/>
  <c r="J27" i="46"/>
  <c r="I27" i="46"/>
  <c r="G27" i="46"/>
  <c r="E27" i="46"/>
  <c r="F27" i="46" s="1"/>
  <c r="L27" i="46" s="1"/>
  <c r="K26" i="46"/>
  <c r="M26" i="46" s="1"/>
  <c r="J26" i="46"/>
  <c r="J42" i="46" s="1"/>
  <c r="I26" i="46"/>
  <c r="G26" i="46"/>
  <c r="E26" i="46"/>
  <c r="F26" i="46" s="1"/>
  <c r="C26" i="46"/>
  <c r="B26" i="46"/>
  <c r="B42" i="46" s="1"/>
  <c r="E25" i="46"/>
  <c r="D25" i="46"/>
  <c r="L24" i="46"/>
  <c r="K24" i="46"/>
  <c r="G24" i="46"/>
  <c r="F24" i="46"/>
  <c r="K23" i="46"/>
  <c r="G23" i="46"/>
  <c r="F23" i="46"/>
  <c r="L23" i="46" s="1"/>
  <c r="K22" i="46"/>
  <c r="G22" i="46"/>
  <c r="F22" i="46"/>
  <c r="L22" i="46" s="1"/>
  <c r="L21" i="46"/>
  <c r="K21" i="46"/>
  <c r="G21" i="46"/>
  <c r="L20" i="46"/>
  <c r="K20" i="46"/>
  <c r="G20" i="46"/>
  <c r="L19" i="46"/>
  <c r="K19" i="46"/>
  <c r="G19" i="46"/>
  <c r="B19" i="46"/>
  <c r="B25" i="46" s="1"/>
  <c r="L18" i="46"/>
  <c r="K18" i="46"/>
  <c r="G18" i="46"/>
  <c r="K17" i="46"/>
  <c r="G17" i="46"/>
  <c r="F17" i="46"/>
  <c r="L17" i="46" s="1"/>
  <c r="K16" i="46"/>
  <c r="G16" i="46"/>
  <c r="L16" i="46"/>
  <c r="K15" i="46"/>
  <c r="G15" i="46"/>
  <c r="F15" i="46"/>
  <c r="L15" i="46" s="1"/>
  <c r="K14" i="46"/>
  <c r="G14" i="46"/>
  <c r="F14" i="46"/>
  <c r="L14" i="46" s="1"/>
  <c r="K13" i="46"/>
  <c r="G13" i="46"/>
  <c r="F13" i="46"/>
  <c r="L13" i="46" s="1"/>
  <c r="K12" i="46"/>
  <c r="G12" i="46"/>
  <c r="F12" i="46"/>
  <c r="L12" i="46" s="1"/>
  <c r="J25" i="46"/>
  <c r="I25" i="46"/>
  <c r="H25" i="46"/>
  <c r="G11" i="46"/>
  <c r="F11" i="46"/>
  <c r="C25" i="46"/>
  <c r="M38" i="46" l="1"/>
  <c r="F25" i="46"/>
  <c r="G25" i="46"/>
  <c r="L11" i="46"/>
  <c r="L26" i="46"/>
  <c r="G42" i="46"/>
  <c r="M30" i="46"/>
  <c r="K69" i="46"/>
  <c r="M58" i="46"/>
  <c r="M33" i="46"/>
  <c r="K57" i="46"/>
  <c r="M43" i="46"/>
  <c r="M31" i="46"/>
  <c r="M36" i="46"/>
  <c r="M55" i="46"/>
  <c r="B69" i="46"/>
  <c r="B86" i="46" s="1"/>
  <c r="M62" i="46"/>
  <c r="M71" i="46"/>
  <c r="F57" i="46"/>
  <c r="F86" i="46" s="1"/>
  <c r="F30" i="46"/>
  <c r="L30" i="46" s="1"/>
  <c r="K37" i="46"/>
  <c r="M37" i="46" s="1"/>
  <c r="G46" i="46"/>
  <c r="M46" i="46" s="1"/>
  <c r="F55" i="46"/>
  <c r="L55" i="46" s="1"/>
  <c r="F62" i="46"/>
  <c r="L62" i="46" s="1"/>
  <c r="M70" i="46"/>
  <c r="M77" i="46"/>
  <c r="K11" i="46"/>
  <c r="E42" i="46"/>
  <c r="G62" i="46"/>
  <c r="G69" i="46" s="1"/>
  <c r="G57" i="46"/>
  <c r="K85" i="46"/>
  <c r="M85" i="46" s="1"/>
  <c r="F48" i="46"/>
  <c r="L48" i="46" s="1"/>
  <c r="J69" i="46"/>
  <c r="B65" i="46"/>
  <c r="J57" i="46"/>
  <c r="J86" i="46" s="1"/>
  <c r="J16" i="45"/>
  <c r="M42" i="46" l="1"/>
  <c r="G86" i="46"/>
  <c r="M25" i="46"/>
  <c r="K25" i="46"/>
  <c r="K86" i="46"/>
  <c r="K42" i="46"/>
  <c r="M69" i="46"/>
  <c r="F42" i="46"/>
  <c r="I12" i="45"/>
  <c r="J12" i="45"/>
  <c r="J23" i="45"/>
  <c r="M38" i="45" l="1"/>
  <c r="J38" i="45"/>
  <c r="M36" i="45"/>
  <c r="E36" i="45"/>
  <c r="M31" i="45"/>
  <c r="J31" i="45"/>
  <c r="M30" i="45"/>
  <c r="E30" i="45"/>
  <c r="M27" i="45"/>
  <c r="I27" i="45"/>
  <c r="E26" i="45"/>
  <c r="I26" i="45"/>
  <c r="J26" i="45"/>
  <c r="E38" i="45"/>
  <c r="E35" i="45"/>
  <c r="E33" i="45"/>
  <c r="E32" i="45"/>
  <c r="E31" i="45"/>
  <c r="E27" i="45"/>
  <c r="H11" i="45" l="1"/>
  <c r="J11" i="45" l="1"/>
  <c r="I11" i="45"/>
  <c r="H22" i="45"/>
  <c r="H12" i="45"/>
  <c r="C11" i="45"/>
  <c r="I91" i="45" l="1"/>
  <c r="I85" i="45"/>
  <c r="H85" i="45"/>
  <c r="G85" i="45"/>
  <c r="F85" i="45"/>
  <c r="E85" i="45"/>
  <c r="D85" i="45"/>
  <c r="C85" i="45"/>
  <c r="B85" i="45"/>
  <c r="M84" i="45"/>
  <c r="K84" i="45"/>
  <c r="J84" i="45"/>
  <c r="J85" i="45" s="1"/>
  <c r="M83" i="45"/>
  <c r="K83" i="45"/>
  <c r="M82" i="45"/>
  <c r="K82" i="45"/>
  <c r="K81" i="45"/>
  <c r="M81" i="45" s="1"/>
  <c r="M80" i="45"/>
  <c r="K80" i="45"/>
  <c r="K85" i="45" s="1"/>
  <c r="M85" i="45" s="1"/>
  <c r="M79" i="45"/>
  <c r="K79" i="45"/>
  <c r="J78" i="45"/>
  <c r="I78" i="45"/>
  <c r="H78" i="45"/>
  <c r="G78" i="45"/>
  <c r="F78" i="45"/>
  <c r="E78" i="45"/>
  <c r="D78" i="45"/>
  <c r="C78" i="45"/>
  <c r="B78" i="45"/>
  <c r="M77" i="45"/>
  <c r="K77" i="45"/>
  <c r="K76" i="45"/>
  <c r="M76" i="45" s="1"/>
  <c r="K75" i="45"/>
  <c r="M75" i="45" s="1"/>
  <c r="J74" i="45"/>
  <c r="I74" i="45"/>
  <c r="H74" i="45"/>
  <c r="G74" i="45"/>
  <c r="F74" i="45"/>
  <c r="E74" i="45"/>
  <c r="D74" i="45"/>
  <c r="C74" i="45"/>
  <c r="B74" i="45"/>
  <c r="M73" i="45"/>
  <c r="K73" i="45"/>
  <c r="M72" i="45"/>
  <c r="K72" i="45"/>
  <c r="K74" i="45" s="1"/>
  <c r="M74" i="45" s="1"/>
  <c r="J71" i="45"/>
  <c r="I71" i="45"/>
  <c r="H71" i="45"/>
  <c r="F71" i="45"/>
  <c r="E71" i="45"/>
  <c r="D71" i="45"/>
  <c r="C71" i="45"/>
  <c r="B71" i="45"/>
  <c r="M70" i="45"/>
  <c r="K70" i="45"/>
  <c r="K71" i="45" s="1"/>
  <c r="M71" i="45" s="1"/>
  <c r="G70" i="45"/>
  <c r="G71" i="45" s="1"/>
  <c r="E69" i="45"/>
  <c r="D69" i="45"/>
  <c r="K68" i="45"/>
  <c r="M68" i="45" s="1"/>
  <c r="J68" i="45"/>
  <c r="G68" i="45"/>
  <c r="F68" i="45"/>
  <c r="L68" i="45" s="1"/>
  <c r="C68" i="45"/>
  <c r="B68" i="45"/>
  <c r="K67" i="45"/>
  <c r="M67" i="45" s="1"/>
  <c r="J67" i="45"/>
  <c r="H67" i="45"/>
  <c r="G67" i="45"/>
  <c r="C67" i="45"/>
  <c r="F67" i="45" s="1"/>
  <c r="L67" i="45" s="1"/>
  <c r="K66" i="45"/>
  <c r="M66" i="45" s="1"/>
  <c r="F66" i="45"/>
  <c r="L66" i="45" s="1"/>
  <c r="C66" i="45"/>
  <c r="G66" i="45" s="1"/>
  <c r="B66" i="45"/>
  <c r="K65" i="45"/>
  <c r="C65" i="45"/>
  <c r="F65" i="45" s="1"/>
  <c r="L65" i="45" s="1"/>
  <c r="K64" i="45"/>
  <c r="G64" i="45"/>
  <c r="M64" i="45" s="1"/>
  <c r="F64" i="45"/>
  <c r="L64" i="45" s="1"/>
  <c r="C64" i="45"/>
  <c r="B64" i="45"/>
  <c r="L63" i="45"/>
  <c r="J63" i="45"/>
  <c r="K63" i="45" s="1"/>
  <c r="M63" i="45" s="1"/>
  <c r="G63" i="45"/>
  <c r="F63" i="45"/>
  <c r="C63" i="45"/>
  <c r="B63" i="45"/>
  <c r="K62" i="45"/>
  <c r="F62" i="45"/>
  <c r="L62" i="45" s="1"/>
  <c r="C62" i="45"/>
  <c r="B62" i="45" s="1"/>
  <c r="K61" i="45"/>
  <c r="C61" i="45"/>
  <c r="G61" i="45" s="1"/>
  <c r="M61" i="45" s="1"/>
  <c r="K60" i="45"/>
  <c r="M60" i="45" s="1"/>
  <c r="G60" i="45"/>
  <c r="C60" i="45"/>
  <c r="F60" i="45" s="1"/>
  <c r="L60" i="45" s="1"/>
  <c r="B60" i="45"/>
  <c r="K59" i="45"/>
  <c r="M59" i="45" s="1"/>
  <c r="J59" i="45"/>
  <c r="G59" i="45"/>
  <c r="C59" i="45"/>
  <c r="F59" i="45" s="1"/>
  <c r="L59" i="45" s="1"/>
  <c r="J58" i="45"/>
  <c r="J69" i="45" s="1"/>
  <c r="I58" i="45"/>
  <c r="I69" i="45" s="1"/>
  <c r="H58" i="45"/>
  <c r="K58" i="45" s="1"/>
  <c r="C58" i="45"/>
  <c r="C69" i="45" s="1"/>
  <c r="F69" i="45" s="1"/>
  <c r="H57" i="45"/>
  <c r="E57" i="45"/>
  <c r="E86" i="45" s="1"/>
  <c r="D57" i="45"/>
  <c r="D86" i="45" s="1"/>
  <c r="B57" i="45"/>
  <c r="L56" i="45"/>
  <c r="J56" i="45"/>
  <c r="K56" i="45" s="1"/>
  <c r="M56" i="45" s="1"/>
  <c r="G56" i="45"/>
  <c r="F56" i="45"/>
  <c r="C56" i="45"/>
  <c r="K55" i="45"/>
  <c r="J55" i="45"/>
  <c r="F55" i="45"/>
  <c r="L55" i="45" s="1"/>
  <c r="C55" i="45"/>
  <c r="G55" i="45" s="1"/>
  <c r="M55" i="45" s="1"/>
  <c r="K54" i="45"/>
  <c r="M54" i="45" s="1"/>
  <c r="G54" i="45"/>
  <c r="C54" i="45"/>
  <c r="F54" i="45" s="1"/>
  <c r="L54" i="45" s="1"/>
  <c r="J53" i="45"/>
  <c r="I53" i="45"/>
  <c r="K53" i="45" s="1"/>
  <c r="M53" i="45" s="1"/>
  <c r="G53" i="45"/>
  <c r="C53" i="45"/>
  <c r="F53" i="45" s="1"/>
  <c r="L53" i="45" s="1"/>
  <c r="J52" i="45"/>
  <c r="I52" i="45"/>
  <c r="K52" i="45" s="1"/>
  <c r="M52" i="45" s="1"/>
  <c r="G52" i="45"/>
  <c r="C52" i="45"/>
  <c r="F52" i="45" s="1"/>
  <c r="L52" i="45" s="1"/>
  <c r="L51" i="45"/>
  <c r="K51" i="45"/>
  <c r="G51" i="45"/>
  <c r="M51" i="45" s="1"/>
  <c r="C51" i="45"/>
  <c r="L50" i="45"/>
  <c r="K50" i="45"/>
  <c r="G50" i="45"/>
  <c r="M50" i="45" s="1"/>
  <c r="C50" i="45"/>
  <c r="K49" i="45"/>
  <c r="M49" i="45" s="1"/>
  <c r="G49" i="45"/>
  <c r="C49" i="45"/>
  <c r="F49" i="45" s="1"/>
  <c r="L49" i="45" s="1"/>
  <c r="J48" i="45"/>
  <c r="K48" i="45" s="1"/>
  <c r="F48" i="45"/>
  <c r="L48" i="45" s="1"/>
  <c r="C48" i="45"/>
  <c r="G48" i="45" s="1"/>
  <c r="K47" i="45"/>
  <c r="M47" i="45" s="1"/>
  <c r="F47" i="45"/>
  <c r="L47" i="45" s="1"/>
  <c r="C47" i="45"/>
  <c r="G47" i="45" s="1"/>
  <c r="K46" i="45"/>
  <c r="G46" i="45"/>
  <c r="M46" i="45" s="1"/>
  <c r="F46" i="45"/>
  <c r="L46" i="45" s="1"/>
  <c r="C46" i="45"/>
  <c r="K45" i="45"/>
  <c r="C45" i="45"/>
  <c r="G45" i="45" s="1"/>
  <c r="M45" i="45" s="1"/>
  <c r="K44" i="45"/>
  <c r="M44" i="45" s="1"/>
  <c r="J44" i="45"/>
  <c r="G44" i="45"/>
  <c r="E44" i="45"/>
  <c r="F44" i="45" s="1"/>
  <c r="L44" i="45" s="1"/>
  <c r="J43" i="45"/>
  <c r="J57" i="45" s="1"/>
  <c r="I43" i="45"/>
  <c r="K43" i="45" s="1"/>
  <c r="G43" i="45"/>
  <c r="G57" i="45" s="1"/>
  <c r="C43" i="45"/>
  <c r="C57" i="45" s="1"/>
  <c r="M41" i="45"/>
  <c r="K41" i="45"/>
  <c r="J41" i="45"/>
  <c r="I41" i="45"/>
  <c r="G41" i="45"/>
  <c r="F41" i="45"/>
  <c r="L41" i="45" s="1"/>
  <c r="D41" i="45"/>
  <c r="K40" i="45"/>
  <c r="F40" i="45"/>
  <c r="L40" i="45" s="1"/>
  <c r="D40" i="45"/>
  <c r="D42" i="45" s="1"/>
  <c r="K39" i="45"/>
  <c r="M39" i="45" s="1"/>
  <c r="G39" i="45"/>
  <c r="F39" i="45"/>
  <c r="L39" i="45" s="1"/>
  <c r="K38" i="45"/>
  <c r="I38" i="45"/>
  <c r="G38" i="45"/>
  <c r="F38" i="45"/>
  <c r="L38" i="45" s="1"/>
  <c r="K37" i="45"/>
  <c r="M37" i="45" s="1"/>
  <c r="H37" i="45"/>
  <c r="G37" i="45"/>
  <c r="F37" i="45"/>
  <c r="L37" i="45" s="1"/>
  <c r="L36" i="45"/>
  <c r="K36" i="45"/>
  <c r="G36" i="45"/>
  <c r="L35" i="45"/>
  <c r="K35" i="45"/>
  <c r="G35" i="45"/>
  <c r="M34" i="45"/>
  <c r="L34" i="45"/>
  <c r="K34" i="45"/>
  <c r="G34" i="45"/>
  <c r="L33" i="45"/>
  <c r="K33" i="45"/>
  <c r="G33" i="45"/>
  <c r="M33" i="45" s="1"/>
  <c r="K32" i="45"/>
  <c r="G32" i="45"/>
  <c r="M32" i="45" s="1"/>
  <c r="F32" i="45"/>
  <c r="L32" i="45" s="1"/>
  <c r="K31" i="45"/>
  <c r="G31" i="45"/>
  <c r="F31" i="45"/>
  <c r="L31" i="45" s="1"/>
  <c r="K30" i="45"/>
  <c r="G30" i="45"/>
  <c r="F30" i="45"/>
  <c r="L30" i="45" s="1"/>
  <c r="K29" i="45"/>
  <c r="G29" i="45"/>
  <c r="M29" i="45" s="1"/>
  <c r="F29" i="45"/>
  <c r="L29" i="45" s="1"/>
  <c r="L28" i="45"/>
  <c r="K28" i="45"/>
  <c r="M28" i="45" s="1"/>
  <c r="G28" i="45"/>
  <c r="F28" i="45"/>
  <c r="L27" i="45"/>
  <c r="J27" i="45"/>
  <c r="K27" i="45"/>
  <c r="G27" i="45"/>
  <c r="F27" i="45"/>
  <c r="E42" i="45"/>
  <c r="J42" i="45"/>
  <c r="I42" i="45"/>
  <c r="H42" i="45"/>
  <c r="G26" i="45"/>
  <c r="F26" i="45"/>
  <c r="C26" i="45"/>
  <c r="C42" i="45" s="1"/>
  <c r="B26" i="45"/>
  <c r="B42" i="45" s="1"/>
  <c r="J25" i="45"/>
  <c r="E25" i="45"/>
  <c r="D25" i="45"/>
  <c r="B25" i="45"/>
  <c r="K24" i="45"/>
  <c r="G24" i="45"/>
  <c r="M24" i="45" s="1"/>
  <c r="F24" i="45"/>
  <c r="L24" i="45" s="1"/>
  <c r="K23" i="45"/>
  <c r="G23" i="45"/>
  <c r="F23" i="45"/>
  <c r="L23" i="45" s="1"/>
  <c r="K22" i="45"/>
  <c r="G22" i="45"/>
  <c r="F22" i="45"/>
  <c r="L22" i="45" s="1"/>
  <c r="L21" i="45"/>
  <c r="K21" i="45"/>
  <c r="G21" i="45"/>
  <c r="L20" i="45"/>
  <c r="K20" i="45"/>
  <c r="G20" i="45"/>
  <c r="L19" i="45"/>
  <c r="K19" i="45"/>
  <c r="M19" i="45" s="1"/>
  <c r="G19" i="45"/>
  <c r="B19" i="45"/>
  <c r="M18" i="45"/>
  <c r="L18" i="45"/>
  <c r="K18" i="45"/>
  <c r="G18" i="45"/>
  <c r="K17" i="45"/>
  <c r="G17" i="45"/>
  <c r="F17" i="45"/>
  <c r="L17" i="45" s="1"/>
  <c r="K16" i="45"/>
  <c r="G16" i="45"/>
  <c r="F16" i="45"/>
  <c r="L16" i="45" s="1"/>
  <c r="K15" i="45"/>
  <c r="G15" i="45"/>
  <c r="F15" i="45"/>
  <c r="L15" i="45" s="1"/>
  <c r="K14" i="45"/>
  <c r="G14" i="45"/>
  <c r="F14" i="45"/>
  <c r="L14" i="45" s="1"/>
  <c r="K13" i="45"/>
  <c r="G13" i="45"/>
  <c r="M13" i="45" s="1"/>
  <c r="F13" i="45"/>
  <c r="L13" i="45" s="1"/>
  <c r="K12" i="45"/>
  <c r="G12" i="45"/>
  <c r="F12" i="45"/>
  <c r="L12" i="45" s="1"/>
  <c r="K11" i="45"/>
  <c r="I25" i="45"/>
  <c r="H25" i="45"/>
  <c r="F11" i="45"/>
  <c r="L11" i="45" s="1"/>
  <c r="C25" i="45"/>
  <c r="I23" i="44"/>
  <c r="J23" i="44"/>
  <c r="J16" i="44"/>
  <c r="J12" i="44"/>
  <c r="I12" i="44"/>
  <c r="I25" i="44" s="1"/>
  <c r="J11" i="44"/>
  <c r="I11" i="44"/>
  <c r="H22" i="44"/>
  <c r="H12" i="44"/>
  <c r="H11" i="44"/>
  <c r="J25" i="44"/>
  <c r="E25" i="44"/>
  <c r="D25" i="44"/>
  <c r="C25" i="44"/>
  <c r="B25" i="44"/>
  <c r="K24" i="44"/>
  <c r="G24" i="44"/>
  <c r="F24" i="44"/>
  <c r="L24" i="44" s="1"/>
  <c r="C11" i="44"/>
  <c r="I91" i="44"/>
  <c r="I85" i="44"/>
  <c r="H85" i="44"/>
  <c r="G85" i="44"/>
  <c r="F85" i="44"/>
  <c r="E85" i="44"/>
  <c r="D85" i="44"/>
  <c r="C85" i="44"/>
  <c r="B85" i="44"/>
  <c r="J84" i="44"/>
  <c r="J85" i="44" s="1"/>
  <c r="K83" i="44"/>
  <c r="M83" i="44" s="1"/>
  <c r="K82" i="44"/>
  <c r="M82" i="44" s="1"/>
  <c r="K81" i="44"/>
  <c r="M81" i="44" s="1"/>
  <c r="K80" i="44"/>
  <c r="M80" i="44" s="1"/>
  <c r="K79" i="44"/>
  <c r="M79" i="44" s="1"/>
  <c r="J78" i="44"/>
  <c r="I78" i="44"/>
  <c r="H78" i="44"/>
  <c r="G78" i="44"/>
  <c r="F78" i="44"/>
  <c r="E78" i="44"/>
  <c r="D78" i="44"/>
  <c r="C78" i="44"/>
  <c r="B78" i="44"/>
  <c r="K77" i="44"/>
  <c r="M77" i="44" s="1"/>
  <c r="K76" i="44"/>
  <c r="M76" i="44" s="1"/>
  <c r="K75" i="44"/>
  <c r="M75" i="44" s="1"/>
  <c r="J74" i="44"/>
  <c r="I74" i="44"/>
  <c r="H74" i="44"/>
  <c r="G74" i="44"/>
  <c r="F74" i="44"/>
  <c r="E74" i="44"/>
  <c r="D74" i="44"/>
  <c r="C74" i="44"/>
  <c r="B74" i="44"/>
  <c r="K73" i="44"/>
  <c r="M73" i="44" s="1"/>
  <c r="K72" i="44"/>
  <c r="K74" i="44" s="1"/>
  <c r="M74" i="44" s="1"/>
  <c r="J71" i="44"/>
  <c r="I71" i="44"/>
  <c r="H71" i="44"/>
  <c r="F71" i="44"/>
  <c r="E71" i="44"/>
  <c r="D71" i="44"/>
  <c r="C71" i="44"/>
  <c r="B71" i="44"/>
  <c r="M70" i="44"/>
  <c r="K70" i="44"/>
  <c r="K71" i="44" s="1"/>
  <c r="G70" i="44"/>
  <c r="G71" i="44" s="1"/>
  <c r="E69" i="44"/>
  <c r="D69" i="44"/>
  <c r="K68" i="44"/>
  <c r="J68" i="44"/>
  <c r="C68" i="44"/>
  <c r="G68" i="44" s="1"/>
  <c r="K67" i="44"/>
  <c r="M67" i="44" s="1"/>
  <c r="J67" i="44"/>
  <c r="H67" i="44"/>
  <c r="G67" i="44"/>
  <c r="F67" i="44"/>
  <c r="L67" i="44" s="1"/>
  <c r="C67" i="44"/>
  <c r="B67" i="44" s="1"/>
  <c r="K66" i="44"/>
  <c r="C66" i="44"/>
  <c r="G66" i="44" s="1"/>
  <c r="K65" i="44"/>
  <c r="C65" i="44"/>
  <c r="F65" i="44" s="1"/>
  <c r="L65" i="44" s="1"/>
  <c r="B65" i="44"/>
  <c r="K64" i="44"/>
  <c r="G64" i="44"/>
  <c r="C64" i="44"/>
  <c r="B64" i="44" s="1"/>
  <c r="J63" i="44"/>
  <c r="K63" i="44" s="1"/>
  <c r="G63" i="44"/>
  <c r="C63" i="44"/>
  <c r="B63" i="44" s="1"/>
  <c r="K62" i="44"/>
  <c r="F62" i="44"/>
  <c r="L62" i="44" s="1"/>
  <c r="C62" i="44"/>
  <c r="B62" i="44" s="1"/>
  <c r="K61" i="44"/>
  <c r="C61" i="44"/>
  <c r="G61" i="44" s="1"/>
  <c r="K60" i="44"/>
  <c r="C60" i="44"/>
  <c r="G60" i="44" s="1"/>
  <c r="B60" i="44"/>
  <c r="J59" i="44"/>
  <c r="K59" i="44" s="1"/>
  <c r="C59" i="44"/>
  <c r="G59" i="44" s="1"/>
  <c r="J58" i="44"/>
  <c r="J69" i="44" s="1"/>
  <c r="I58" i="44"/>
  <c r="I69" i="44" s="1"/>
  <c r="H58" i="44"/>
  <c r="K58" i="44" s="1"/>
  <c r="C58" i="44"/>
  <c r="C69" i="44" s="1"/>
  <c r="H57" i="44"/>
  <c r="E57" i="44"/>
  <c r="E86" i="44" s="1"/>
  <c r="D57" i="44"/>
  <c r="B57" i="44"/>
  <c r="J56" i="44"/>
  <c r="K56" i="44" s="1"/>
  <c r="G56" i="44"/>
  <c r="C56" i="44"/>
  <c r="F56" i="44" s="1"/>
  <c r="L56" i="44" s="1"/>
  <c r="J55" i="44"/>
  <c r="K55" i="44" s="1"/>
  <c r="C55" i="44"/>
  <c r="G55" i="44" s="1"/>
  <c r="K54" i="44"/>
  <c r="C54" i="44"/>
  <c r="G54" i="44" s="1"/>
  <c r="K53" i="44"/>
  <c r="J53" i="44"/>
  <c r="I53" i="44"/>
  <c r="C53" i="44"/>
  <c r="G53" i="44" s="1"/>
  <c r="K52" i="44"/>
  <c r="J52" i="44"/>
  <c r="I52" i="44"/>
  <c r="C52" i="44"/>
  <c r="G52" i="44" s="1"/>
  <c r="L51" i="44"/>
  <c r="K51" i="44"/>
  <c r="C51" i="44"/>
  <c r="G51" i="44" s="1"/>
  <c r="L50" i="44"/>
  <c r="K50" i="44"/>
  <c r="G50" i="44"/>
  <c r="C50" i="44"/>
  <c r="K49" i="44"/>
  <c r="C49" i="44"/>
  <c r="G49" i="44" s="1"/>
  <c r="M49" i="44" s="1"/>
  <c r="K48" i="44"/>
  <c r="J48" i="44"/>
  <c r="C48" i="44"/>
  <c r="G48" i="44" s="1"/>
  <c r="K47" i="44"/>
  <c r="G47" i="44"/>
  <c r="M47" i="44" s="1"/>
  <c r="C47" i="44"/>
  <c r="F47" i="44" s="1"/>
  <c r="L47" i="44" s="1"/>
  <c r="K46" i="44"/>
  <c r="C46" i="44"/>
  <c r="F46" i="44" s="1"/>
  <c r="L46" i="44" s="1"/>
  <c r="K45" i="44"/>
  <c r="C45" i="44"/>
  <c r="G45" i="44" s="1"/>
  <c r="J44" i="44"/>
  <c r="K44" i="44" s="1"/>
  <c r="E44" i="44"/>
  <c r="G44" i="44" s="1"/>
  <c r="K43" i="44"/>
  <c r="J43" i="44"/>
  <c r="J57" i="44" s="1"/>
  <c r="I43" i="44"/>
  <c r="I57" i="44" s="1"/>
  <c r="C43" i="44"/>
  <c r="J41" i="44"/>
  <c r="I41" i="44"/>
  <c r="K41" i="44" s="1"/>
  <c r="G41" i="44"/>
  <c r="F41" i="44"/>
  <c r="L41" i="44" s="1"/>
  <c r="D41" i="44"/>
  <c r="K40" i="44"/>
  <c r="F40" i="44"/>
  <c r="L40" i="44" s="1"/>
  <c r="D40" i="44"/>
  <c r="G40" i="44" s="1"/>
  <c r="K39" i="44"/>
  <c r="G39" i="44"/>
  <c r="F39" i="44"/>
  <c r="L39" i="44" s="1"/>
  <c r="K38" i="44"/>
  <c r="J38" i="44"/>
  <c r="I38" i="44"/>
  <c r="E38" i="44"/>
  <c r="G38" i="44" s="1"/>
  <c r="K37" i="44"/>
  <c r="H37" i="44"/>
  <c r="G37" i="44"/>
  <c r="F37" i="44"/>
  <c r="L37" i="44" s="1"/>
  <c r="L36" i="44"/>
  <c r="K36" i="44"/>
  <c r="G36" i="44"/>
  <c r="L35" i="44"/>
  <c r="K35" i="44"/>
  <c r="G35" i="44"/>
  <c r="L34" i="44"/>
  <c r="K34" i="44"/>
  <c r="G34" i="44"/>
  <c r="L33" i="44"/>
  <c r="K33" i="44"/>
  <c r="G33" i="44"/>
  <c r="M33" i="44" s="1"/>
  <c r="K32" i="44"/>
  <c r="G32" i="44"/>
  <c r="M32" i="44" s="1"/>
  <c r="F32" i="44"/>
  <c r="L32" i="44" s="1"/>
  <c r="J31" i="44"/>
  <c r="K31" i="44" s="1"/>
  <c r="G31" i="44"/>
  <c r="E31" i="44"/>
  <c r="F31" i="44" s="1"/>
  <c r="L31" i="44" s="1"/>
  <c r="K30" i="44"/>
  <c r="G30" i="44"/>
  <c r="F30" i="44"/>
  <c r="L30" i="44" s="1"/>
  <c r="K29" i="44"/>
  <c r="G29" i="44"/>
  <c r="F29" i="44"/>
  <c r="L29" i="44" s="1"/>
  <c r="K28" i="44"/>
  <c r="G28" i="44"/>
  <c r="F28" i="44"/>
  <c r="L28" i="44" s="1"/>
  <c r="J27" i="44"/>
  <c r="I27" i="44"/>
  <c r="K27" i="44" s="1"/>
  <c r="G27" i="44"/>
  <c r="F27" i="44"/>
  <c r="L27" i="44" s="1"/>
  <c r="E27" i="44"/>
  <c r="E42" i="44" s="1"/>
  <c r="J26" i="44"/>
  <c r="J42" i="44" s="1"/>
  <c r="I26" i="44"/>
  <c r="I42" i="44" s="1"/>
  <c r="H26" i="44"/>
  <c r="H42" i="44" s="1"/>
  <c r="G26" i="44"/>
  <c r="C26" i="44"/>
  <c r="F26" i="44" s="1"/>
  <c r="B26" i="44"/>
  <c r="B42" i="44" s="1"/>
  <c r="K23" i="44"/>
  <c r="G23" i="44"/>
  <c r="F23" i="44"/>
  <c r="L23" i="44" s="1"/>
  <c r="K22" i="44"/>
  <c r="G22" i="44"/>
  <c r="F22" i="44"/>
  <c r="L22" i="44" s="1"/>
  <c r="L21" i="44"/>
  <c r="K21" i="44"/>
  <c r="G21" i="44"/>
  <c r="L20" i="44"/>
  <c r="K20" i="44"/>
  <c r="G20" i="44"/>
  <c r="L19" i="44"/>
  <c r="K19" i="44"/>
  <c r="G19" i="44"/>
  <c r="B19" i="44"/>
  <c r="L18" i="44"/>
  <c r="K18" i="44"/>
  <c r="G18" i="44"/>
  <c r="K17" i="44"/>
  <c r="G17" i="44"/>
  <c r="F17" i="44"/>
  <c r="L17" i="44" s="1"/>
  <c r="K16" i="44"/>
  <c r="G16" i="44"/>
  <c r="F16" i="44"/>
  <c r="L16" i="44" s="1"/>
  <c r="K15" i="44"/>
  <c r="G15" i="44"/>
  <c r="F15" i="44"/>
  <c r="L15" i="44" s="1"/>
  <c r="K14" i="44"/>
  <c r="G14" i="44"/>
  <c r="F14" i="44"/>
  <c r="L14" i="44" s="1"/>
  <c r="K13" i="44"/>
  <c r="G13" i="44"/>
  <c r="F13" i="44"/>
  <c r="L13" i="44" s="1"/>
  <c r="G12" i="44"/>
  <c r="F12" i="44"/>
  <c r="L12" i="44" s="1"/>
  <c r="K11" i="44"/>
  <c r="F11" i="44"/>
  <c r="L11" i="44" s="1"/>
  <c r="M35" i="45" l="1"/>
  <c r="F42" i="45"/>
  <c r="L26" i="45"/>
  <c r="M16" i="45"/>
  <c r="M23" i="45"/>
  <c r="M20" i="45"/>
  <c r="K25" i="45"/>
  <c r="M22" i="45"/>
  <c r="M15" i="45"/>
  <c r="M12" i="45"/>
  <c r="M21" i="45"/>
  <c r="M17" i="45"/>
  <c r="M14" i="45"/>
  <c r="C86" i="45"/>
  <c r="K69" i="45"/>
  <c r="K57" i="45"/>
  <c r="M43" i="45"/>
  <c r="M48" i="45"/>
  <c r="M65" i="45"/>
  <c r="J86" i="45"/>
  <c r="K26" i="45"/>
  <c r="B58" i="45"/>
  <c r="B61" i="45"/>
  <c r="G65" i="45"/>
  <c r="G11" i="45"/>
  <c r="G25" i="45" s="1"/>
  <c r="F25" i="45"/>
  <c r="F45" i="45"/>
  <c r="L45" i="45" s="1"/>
  <c r="F58" i="45"/>
  <c r="L58" i="45" s="1"/>
  <c r="F61" i="45"/>
  <c r="L61" i="45" s="1"/>
  <c r="G62" i="45"/>
  <c r="M62" i="45" s="1"/>
  <c r="H69" i="45"/>
  <c r="H86" i="45" s="1"/>
  <c r="G40" i="45"/>
  <c r="M40" i="45" s="1"/>
  <c r="F43" i="45"/>
  <c r="G58" i="45"/>
  <c r="B67" i="45"/>
  <c r="K78" i="45"/>
  <c r="M78" i="45" s="1"/>
  <c r="I57" i="45"/>
  <c r="I86" i="45" s="1"/>
  <c r="B65" i="45"/>
  <c r="M39" i="44"/>
  <c r="M48" i="44"/>
  <c r="M53" i="44"/>
  <c r="M19" i="44"/>
  <c r="M35" i="44"/>
  <c r="M56" i="44"/>
  <c r="G42" i="44"/>
  <c r="M64" i="44"/>
  <c r="G46" i="44"/>
  <c r="M20" i="44"/>
  <c r="M30" i="44"/>
  <c r="M36" i="44"/>
  <c r="D86" i="44"/>
  <c r="M71" i="44"/>
  <c r="F55" i="44"/>
  <c r="L55" i="44" s="1"/>
  <c r="I86" i="44"/>
  <c r="M27" i="44"/>
  <c r="M29" i="44"/>
  <c r="M31" i="44"/>
  <c r="M34" i="44"/>
  <c r="M40" i="44"/>
  <c r="M46" i="44"/>
  <c r="M52" i="44"/>
  <c r="M44" i="44"/>
  <c r="M18" i="44"/>
  <c r="M28" i="44"/>
  <c r="M37" i="44"/>
  <c r="M51" i="44"/>
  <c r="M72" i="44"/>
  <c r="F25" i="44"/>
  <c r="M50" i="44"/>
  <c r="M41" i="44"/>
  <c r="M55" i="44"/>
  <c r="M63" i="44"/>
  <c r="C57" i="44"/>
  <c r="K12" i="44"/>
  <c r="K25" i="44" s="1"/>
  <c r="H25" i="44"/>
  <c r="M15" i="44"/>
  <c r="M24" i="44"/>
  <c r="M21" i="44"/>
  <c r="M22" i="44"/>
  <c r="M17" i="44"/>
  <c r="M14" i="44"/>
  <c r="M23" i="44"/>
  <c r="M16" i="44"/>
  <c r="M13" i="44"/>
  <c r="M60" i="44"/>
  <c r="M66" i="44"/>
  <c r="M45" i="44"/>
  <c r="C86" i="44"/>
  <c r="M61" i="44"/>
  <c r="K69" i="44"/>
  <c r="M68" i="44"/>
  <c r="F69" i="44"/>
  <c r="F42" i="44"/>
  <c r="L26" i="44"/>
  <c r="J86" i="44"/>
  <c r="K57" i="44"/>
  <c r="M54" i="44"/>
  <c r="M59" i="44"/>
  <c r="M38" i="44"/>
  <c r="K26" i="44"/>
  <c r="C42" i="44"/>
  <c r="B58" i="44"/>
  <c r="B61" i="44"/>
  <c r="F63" i="44"/>
  <c r="L63" i="44" s="1"/>
  <c r="F64" i="44"/>
  <c r="L64" i="44" s="1"/>
  <c r="G65" i="44"/>
  <c r="M65" i="44" s="1"/>
  <c r="K84" i="44"/>
  <c r="M84" i="44" s="1"/>
  <c r="F45" i="44"/>
  <c r="L45" i="44" s="1"/>
  <c r="F58" i="44"/>
  <c r="L58" i="44" s="1"/>
  <c r="F61" i="44"/>
  <c r="L61" i="44" s="1"/>
  <c r="G62" i="44"/>
  <c r="M62" i="44" s="1"/>
  <c r="H69" i="44"/>
  <c r="H86" i="44" s="1"/>
  <c r="D42" i="44"/>
  <c r="F43" i="44"/>
  <c r="F44" i="44"/>
  <c r="L44" i="44" s="1"/>
  <c r="F49" i="44"/>
  <c r="L49" i="44" s="1"/>
  <c r="F52" i="44"/>
  <c r="L52" i="44" s="1"/>
  <c r="F53" i="44"/>
  <c r="L53" i="44" s="1"/>
  <c r="F54" i="44"/>
  <c r="L54" i="44" s="1"/>
  <c r="G58" i="44"/>
  <c r="M58" i="44" s="1"/>
  <c r="F59" i="44"/>
  <c r="L59" i="44" s="1"/>
  <c r="F60" i="44"/>
  <c r="L60" i="44" s="1"/>
  <c r="K78" i="44"/>
  <c r="M78" i="44" s="1"/>
  <c r="K85" i="44"/>
  <c r="M85" i="44" s="1"/>
  <c r="G43" i="44"/>
  <c r="F48" i="44"/>
  <c r="L48" i="44" s="1"/>
  <c r="B66" i="44"/>
  <c r="B68" i="44"/>
  <c r="F38" i="44"/>
  <c r="L38" i="44" s="1"/>
  <c r="F66" i="44"/>
  <c r="L66" i="44" s="1"/>
  <c r="F68" i="44"/>
  <c r="L68" i="44" s="1"/>
  <c r="G11" i="44"/>
  <c r="G25" i="44" s="1"/>
  <c r="I24" i="42"/>
  <c r="F57" i="45" l="1"/>
  <c r="F86" i="45" s="1"/>
  <c r="L43" i="45"/>
  <c r="G42" i="45"/>
  <c r="M26" i="45"/>
  <c r="M42" i="45" s="1"/>
  <c r="K42" i="45"/>
  <c r="K86" i="45"/>
  <c r="B69" i="45"/>
  <c r="B86" i="45" s="1"/>
  <c r="M11" i="45"/>
  <c r="M25" i="45" s="1"/>
  <c r="G69" i="45"/>
  <c r="G86" i="45" s="1"/>
  <c r="M58" i="45"/>
  <c r="K86" i="44"/>
  <c r="M12" i="44"/>
  <c r="B69" i="44"/>
  <c r="B86" i="44" s="1"/>
  <c r="F57" i="44"/>
  <c r="F86" i="44" s="1"/>
  <c r="L43" i="44"/>
  <c r="M11" i="44"/>
  <c r="G57" i="44"/>
  <c r="M43" i="44"/>
  <c r="M26" i="44"/>
  <c r="M42" i="44" s="1"/>
  <c r="K42" i="44"/>
  <c r="G69" i="44"/>
  <c r="M69" i="44" s="1"/>
  <c r="O14" i="34"/>
  <c r="M69" i="45" l="1"/>
  <c r="M25" i="44"/>
  <c r="G86" i="44"/>
  <c r="G12" i="42"/>
  <c r="E26" i="42" l="1"/>
  <c r="J26" i="42"/>
  <c r="I26" i="42"/>
  <c r="J12" i="42"/>
  <c r="H12" i="42"/>
  <c r="G16" i="42"/>
  <c r="M17" i="42"/>
  <c r="I12" i="42"/>
  <c r="J23" i="42" l="1"/>
  <c r="K23" i="42"/>
  <c r="I23" i="42"/>
  <c r="J16" i="42"/>
  <c r="K16" i="42" s="1"/>
  <c r="J11" i="42"/>
  <c r="I11" i="42"/>
  <c r="H22" i="42"/>
  <c r="K22" i="42" s="1"/>
  <c r="H11" i="42"/>
  <c r="C11" i="42"/>
  <c r="C24" i="42" s="1"/>
  <c r="I90" i="42"/>
  <c r="E85" i="42"/>
  <c r="I84" i="42"/>
  <c r="H84" i="42"/>
  <c r="G84" i="42"/>
  <c r="F84" i="42"/>
  <c r="E84" i="42"/>
  <c r="D84" i="42"/>
  <c r="C84" i="42"/>
  <c r="B84" i="42"/>
  <c r="K83" i="42"/>
  <c r="M83" i="42" s="1"/>
  <c r="J83" i="42"/>
  <c r="J84" i="42" s="1"/>
  <c r="M82" i="42"/>
  <c r="K82" i="42"/>
  <c r="K81" i="42"/>
  <c r="M81" i="42" s="1"/>
  <c r="K80" i="42"/>
  <c r="M80" i="42" s="1"/>
  <c r="M79" i="42"/>
  <c r="K79" i="42"/>
  <c r="K84" i="42" s="1"/>
  <c r="M84" i="42" s="1"/>
  <c r="M78" i="42"/>
  <c r="K78" i="42"/>
  <c r="J77" i="42"/>
  <c r="I77" i="42"/>
  <c r="H77" i="42"/>
  <c r="G77" i="42"/>
  <c r="F77" i="42"/>
  <c r="E77" i="42"/>
  <c r="D77" i="42"/>
  <c r="C77" i="42"/>
  <c r="B77" i="42"/>
  <c r="K76" i="42"/>
  <c r="M76" i="42" s="1"/>
  <c r="M75" i="42"/>
  <c r="K75" i="42"/>
  <c r="K74" i="42"/>
  <c r="M74" i="42" s="1"/>
  <c r="J73" i="42"/>
  <c r="I73" i="42"/>
  <c r="H73" i="42"/>
  <c r="G73" i="42"/>
  <c r="F73" i="42"/>
  <c r="E73" i="42"/>
  <c r="D73" i="42"/>
  <c r="C73" i="42"/>
  <c r="B73" i="42"/>
  <c r="M72" i="42"/>
  <c r="K72" i="42"/>
  <c r="M71" i="42"/>
  <c r="K71" i="42"/>
  <c r="K73" i="42" s="1"/>
  <c r="M73" i="42" s="1"/>
  <c r="J70" i="42"/>
  <c r="I70" i="42"/>
  <c r="H70" i="42"/>
  <c r="F70" i="42"/>
  <c r="E70" i="42"/>
  <c r="D70" i="42"/>
  <c r="C70" i="42"/>
  <c r="B70" i="42"/>
  <c r="K69" i="42"/>
  <c r="K70" i="42" s="1"/>
  <c r="M70" i="42" s="1"/>
  <c r="G69" i="42"/>
  <c r="G70" i="42" s="1"/>
  <c r="I68" i="42"/>
  <c r="E68" i="42"/>
  <c r="D68" i="42"/>
  <c r="J67" i="42"/>
  <c r="K67" i="42" s="1"/>
  <c r="M67" i="42" s="1"/>
  <c r="G67" i="42"/>
  <c r="F67" i="42"/>
  <c r="L67" i="42" s="1"/>
  <c r="C67" i="42"/>
  <c r="B67" i="42"/>
  <c r="J66" i="42"/>
  <c r="K66" i="42" s="1"/>
  <c r="M66" i="42" s="1"/>
  <c r="H66" i="42"/>
  <c r="G66" i="42"/>
  <c r="C66" i="42"/>
  <c r="F66" i="42" s="1"/>
  <c r="L66" i="42" s="1"/>
  <c r="B66" i="42"/>
  <c r="L65" i="42"/>
  <c r="K65" i="42"/>
  <c r="M65" i="42" s="1"/>
  <c r="G65" i="42"/>
  <c r="F65" i="42"/>
  <c r="C65" i="42"/>
  <c r="B65" i="42"/>
  <c r="K64" i="42"/>
  <c r="M64" i="42" s="1"/>
  <c r="G64" i="42"/>
  <c r="F64" i="42"/>
  <c r="L64" i="42" s="1"/>
  <c r="C64" i="42"/>
  <c r="B64" i="42" s="1"/>
  <c r="K63" i="42"/>
  <c r="G63" i="42"/>
  <c r="M63" i="42" s="1"/>
  <c r="F63" i="42"/>
  <c r="L63" i="42" s="1"/>
  <c r="C63" i="42"/>
  <c r="B63" i="42" s="1"/>
  <c r="K62" i="42"/>
  <c r="M62" i="42" s="1"/>
  <c r="J62" i="42"/>
  <c r="G62" i="42"/>
  <c r="F62" i="42"/>
  <c r="L62" i="42" s="1"/>
  <c r="C62" i="42"/>
  <c r="B62" i="42" s="1"/>
  <c r="K61" i="42"/>
  <c r="C61" i="42"/>
  <c r="B61" i="42" s="1"/>
  <c r="K60" i="42"/>
  <c r="C60" i="42"/>
  <c r="G60" i="42" s="1"/>
  <c r="M60" i="42" s="1"/>
  <c r="B60" i="42"/>
  <c r="M59" i="42"/>
  <c r="K59" i="42"/>
  <c r="G59" i="42"/>
  <c r="F59" i="42"/>
  <c r="L59" i="42" s="1"/>
  <c r="C59" i="42"/>
  <c r="B59" i="42"/>
  <c r="M58" i="42"/>
  <c r="K58" i="42"/>
  <c r="J58" i="42"/>
  <c r="G58" i="42"/>
  <c r="F58" i="42"/>
  <c r="L58" i="42" s="1"/>
  <c r="C58" i="42"/>
  <c r="K57" i="42"/>
  <c r="J57" i="42"/>
  <c r="J68" i="42" s="1"/>
  <c r="I57" i="42"/>
  <c r="H57" i="42"/>
  <c r="H68" i="42" s="1"/>
  <c r="C57" i="42"/>
  <c r="C68" i="42" s="1"/>
  <c r="F68" i="42" s="1"/>
  <c r="B57" i="42"/>
  <c r="B68" i="42" s="1"/>
  <c r="H56" i="42"/>
  <c r="H85" i="42" s="1"/>
  <c r="E56" i="42"/>
  <c r="D56" i="42"/>
  <c r="D85" i="42" s="1"/>
  <c r="B56" i="42"/>
  <c r="K55" i="42"/>
  <c r="M55" i="42" s="1"/>
  <c r="J55" i="42"/>
  <c r="G55" i="42"/>
  <c r="F55" i="42"/>
  <c r="L55" i="42" s="1"/>
  <c r="C55" i="42"/>
  <c r="J54" i="42"/>
  <c r="K54" i="42" s="1"/>
  <c r="C54" i="42"/>
  <c r="F54" i="42" s="1"/>
  <c r="L54" i="42" s="1"/>
  <c r="M53" i="42"/>
  <c r="K53" i="42"/>
  <c r="G53" i="42"/>
  <c r="F53" i="42"/>
  <c r="L53" i="42" s="1"/>
  <c r="C53" i="42"/>
  <c r="M52" i="42"/>
  <c r="L52" i="42"/>
  <c r="K52" i="42"/>
  <c r="J52" i="42"/>
  <c r="I52" i="42"/>
  <c r="G52" i="42"/>
  <c r="F52" i="42"/>
  <c r="C52" i="42"/>
  <c r="M51" i="42"/>
  <c r="L51" i="42"/>
  <c r="K51" i="42"/>
  <c r="J51" i="42"/>
  <c r="I51" i="42"/>
  <c r="G51" i="42"/>
  <c r="F51" i="42"/>
  <c r="C51" i="42"/>
  <c r="M50" i="42"/>
  <c r="L50" i="42"/>
  <c r="K50" i="42"/>
  <c r="G50" i="42"/>
  <c r="C50" i="42"/>
  <c r="L49" i="42"/>
  <c r="K49" i="42"/>
  <c r="C49" i="42"/>
  <c r="G49" i="42" s="1"/>
  <c r="M49" i="42" s="1"/>
  <c r="M48" i="42"/>
  <c r="K48" i="42"/>
  <c r="G48" i="42"/>
  <c r="F48" i="42"/>
  <c r="L48" i="42" s="1"/>
  <c r="C48" i="42"/>
  <c r="K47" i="42"/>
  <c r="J47" i="42"/>
  <c r="C47" i="42"/>
  <c r="G47" i="42" s="1"/>
  <c r="M47" i="42" s="1"/>
  <c r="L46" i="42"/>
  <c r="K46" i="42"/>
  <c r="M46" i="42" s="1"/>
  <c r="G46" i="42"/>
  <c r="F46" i="42"/>
  <c r="C46" i="42"/>
  <c r="K45" i="42"/>
  <c r="G45" i="42"/>
  <c r="M45" i="42" s="1"/>
  <c r="F45" i="42"/>
  <c r="L45" i="42" s="1"/>
  <c r="C45" i="42"/>
  <c r="K44" i="42"/>
  <c r="C44" i="42"/>
  <c r="C56" i="42" s="1"/>
  <c r="C85" i="42" s="1"/>
  <c r="M43" i="42"/>
  <c r="L43" i="42"/>
  <c r="K43" i="42"/>
  <c r="J43" i="42"/>
  <c r="G43" i="42"/>
  <c r="F43" i="42"/>
  <c r="E43" i="42"/>
  <c r="M42" i="42"/>
  <c r="L42" i="42"/>
  <c r="K42" i="42"/>
  <c r="K56" i="42" s="1"/>
  <c r="J42" i="42"/>
  <c r="J56" i="42" s="1"/>
  <c r="I42" i="42"/>
  <c r="I56" i="42" s="1"/>
  <c r="I85" i="42" s="1"/>
  <c r="G42" i="42"/>
  <c r="F42" i="42"/>
  <c r="C42" i="42"/>
  <c r="C41" i="42"/>
  <c r="J40" i="42"/>
  <c r="K40" i="42" s="1"/>
  <c r="M40" i="42" s="1"/>
  <c r="I40" i="42"/>
  <c r="G40" i="42"/>
  <c r="F40" i="42"/>
  <c r="L40" i="42" s="1"/>
  <c r="D40" i="42"/>
  <c r="K39" i="42"/>
  <c r="F39" i="42"/>
  <c r="L39" i="42" s="1"/>
  <c r="D39" i="42"/>
  <c r="D41" i="42" s="1"/>
  <c r="M38" i="42"/>
  <c r="L38" i="42"/>
  <c r="K38" i="42"/>
  <c r="G38" i="42"/>
  <c r="F38" i="42"/>
  <c r="J37" i="42"/>
  <c r="K37" i="42" s="1"/>
  <c r="I37" i="42"/>
  <c r="E37" i="42"/>
  <c r="G37" i="42" s="1"/>
  <c r="H36" i="42"/>
  <c r="K36" i="42" s="1"/>
  <c r="M36" i="42" s="1"/>
  <c r="G36" i="42"/>
  <c r="F36" i="42"/>
  <c r="L36" i="42" s="1"/>
  <c r="L35" i="42"/>
  <c r="K35" i="42"/>
  <c r="M35" i="42" s="1"/>
  <c r="G35" i="42"/>
  <c r="M34" i="42"/>
  <c r="L34" i="42"/>
  <c r="K34" i="42"/>
  <c r="G34" i="42"/>
  <c r="L33" i="42"/>
  <c r="K33" i="42"/>
  <c r="M33" i="42" s="1"/>
  <c r="G33" i="42"/>
  <c r="M32" i="42"/>
  <c r="L32" i="42"/>
  <c r="K32" i="42"/>
  <c r="G32" i="42"/>
  <c r="K31" i="42"/>
  <c r="M31" i="42" s="1"/>
  <c r="G31" i="42"/>
  <c r="F31" i="42"/>
  <c r="L31" i="42" s="1"/>
  <c r="M30" i="42"/>
  <c r="K30" i="42"/>
  <c r="J30" i="42"/>
  <c r="G30" i="42"/>
  <c r="F30" i="42"/>
  <c r="L30" i="42" s="1"/>
  <c r="E30" i="42"/>
  <c r="E41" i="42" s="1"/>
  <c r="M29" i="42"/>
  <c r="L29" i="42"/>
  <c r="K29" i="42"/>
  <c r="G29" i="42"/>
  <c r="F29" i="42"/>
  <c r="K28" i="42"/>
  <c r="G28" i="42"/>
  <c r="M28" i="42" s="1"/>
  <c r="F28" i="42"/>
  <c r="L28" i="42" s="1"/>
  <c r="M27" i="42"/>
  <c r="K27" i="42"/>
  <c r="G27" i="42"/>
  <c r="F27" i="42"/>
  <c r="L27" i="42" s="1"/>
  <c r="L26" i="42"/>
  <c r="K26" i="42"/>
  <c r="M26" i="42" s="1"/>
  <c r="G26" i="42"/>
  <c r="F26" i="42"/>
  <c r="L25" i="42"/>
  <c r="K25" i="42"/>
  <c r="J25" i="42"/>
  <c r="J41" i="42" s="1"/>
  <c r="I25" i="42"/>
  <c r="I41" i="42" s="1"/>
  <c r="H25" i="42"/>
  <c r="H41" i="42" s="1"/>
  <c r="G25" i="42"/>
  <c r="F25" i="42"/>
  <c r="C25" i="42"/>
  <c r="B25" i="42"/>
  <c r="B41" i="42" s="1"/>
  <c r="E24" i="42"/>
  <c r="D24" i="42"/>
  <c r="G23" i="42"/>
  <c r="F23" i="42"/>
  <c r="L23" i="42" s="1"/>
  <c r="G22" i="42"/>
  <c r="F22" i="42"/>
  <c r="L22" i="42" s="1"/>
  <c r="L21" i="42"/>
  <c r="K21" i="42"/>
  <c r="M21" i="42" s="1"/>
  <c r="G21" i="42"/>
  <c r="L20" i="42"/>
  <c r="K20" i="42"/>
  <c r="M20" i="42" s="1"/>
  <c r="G20" i="42"/>
  <c r="M19" i="42"/>
  <c r="L19" i="42"/>
  <c r="K19" i="42"/>
  <c r="G19" i="42"/>
  <c r="B19" i="42"/>
  <c r="B24" i="42" s="1"/>
  <c r="L18" i="42"/>
  <c r="K18" i="42"/>
  <c r="M18" i="42" s="1"/>
  <c r="G18" i="42"/>
  <c r="K17" i="42"/>
  <c r="G17" i="42"/>
  <c r="F17" i="42"/>
  <c r="L17" i="42" s="1"/>
  <c r="F16" i="42"/>
  <c r="L16" i="42" s="1"/>
  <c r="K15" i="42"/>
  <c r="G15" i="42"/>
  <c r="F15" i="42"/>
  <c r="L15" i="42" s="1"/>
  <c r="K14" i="42"/>
  <c r="G14" i="42"/>
  <c r="F14" i="42"/>
  <c r="L14" i="42" s="1"/>
  <c r="L13" i="42"/>
  <c r="K13" i="42"/>
  <c r="G13" i="42"/>
  <c r="F13" i="42"/>
  <c r="F12" i="42"/>
  <c r="L12" i="42" s="1"/>
  <c r="G11" i="42"/>
  <c r="I23" i="43"/>
  <c r="J23" i="43"/>
  <c r="J16" i="43"/>
  <c r="J12" i="43"/>
  <c r="I12" i="43"/>
  <c r="H11" i="43"/>
  <c r="J11" i="43"/>
  <c r="I11" i="43"/>
  <c r="H22" i="43"/>
  <c r="K22" i="43"/>
  <c r="H12" i="43"/>
  <c r="K12" i="43" s="1"/>
  <c r="C11" i="43"/>
  <c r="G11" i="43"/>
  <c r="C11" i="41"/>
  <c r="I90" i="43"/>
  <c r="I84" i="43"/>
  <c r="H84" i="43"/>
  <c r="G84" i="43"/>
  <c r="F84" i="43"/>
  <c r="E84" i="43"/>
  <c r="D84" i="43"/>
  <c r="C84" i="43"/>
  <c r="B84" i="43"/>
  <c r="K83" i="43"/>
  <c r="M83" i="43" s="1"/>
  <c r="J83" i="43"/>
  <c r="J84" i="43" s="1"/>
  <c r="M82" i="43"/>
  <c r="K82" i="43"/>
  <c r="M81" i="43"/>
  <c r="K81" i="43"/>
  <c r="K80" i="43"/>
  <c r="M80" i="43" s="1"/>
  <c r="M79" i="43"/>
  <c r="K79" i="43"/>
  <c r="K84" i="43" s="1"/>
  <c r="M84" i="43" s="1"/>
  <c r="M78" i="43"/>
  <c r="K78" i="43"/>
  <c r="J77" i="43"/>
  <c r="I77" i="43"/>
  <c r="H77" i="43"/>
  <c r="G77" i="43"/>
  <c r="F77" i="43"/>
  <c r="E77" i="43"/>
  <c r="D77" i="43"/>
  <c r="C77" i="43"/>
  <c r="B77" i="43"/>
  <c r="K76" i="43"/>
  <c r="M76" i="43" s="1"/>
  <c r="K75" i="43"/>
  <c r="M75" i="43" s="1"/>
  <c r="K74" i="43"/>
  <c r="M74" i="43" s="1"/>
  <c r="J73" i="43"/>
  <c r="I73" i="43"/>
  <c r="H73" i="43"/>
  <c r="G73" i="43"/>
  <c r="F73" i="43"/>
  <c r="E73" i="43"/>
  <c r="D73" i="43"/>
  <c r="C73" i="43"/>
  <c r="B73" i="43"/>
  <c r="M72" i="43"/>
  <c r="K72" i="43"/>
  <c r="M71" i="43"/>
  <c r="K71" i="43"/>
  <c r="K73" i="43" s="1"/>
  <c r="M73" i="43" s="1"/>
  <c r="J70" i="43"/>
  <c r="I70" i="43"/>
  <c r="H70" i="43"/>
  <c r="F70" i="43"/>
  <c r="E70" i="43"/>
  <c r="D70" i="43"/>
  <c r="C70" i="43"/>
  <c r="B70" i="43"/>
  <c r="K69" i="43"/>
  <c r="K70" i="43" s="1"/>
  <c r="G69" i="43"/>
  <c r="G70" i="43" s="1"/>
  <c r="I68" i="43"/>
  <c r="E68" i="43"/>
  <c r="D68" i="43"/>
  <c r="J67" i="43"/>
  <c r="K67" i="43" s="1"/>
  <c r="M67" i="43" s="1"/>
  <c r="G67" i="43"/>
  <c r="F67" i="43"/>
  <c r="L67" i="43" s="1"/>
  <c r="C67" i="43"/>
  <c r="B67" i="43"/>
  <c r="J66" i="43"/>
  <c r="H66" i="43"/>
  <c r="K66" i="43" s="1"/>
  <c r="M66" i="43" s="1"/>
  <c r="G66" i="43"/>
  <c r="C66" i="43"/>
  <c r="F66" i="43" s="1"/>
  <c r="L66" i="43" s="1"/>
  <c r="K65" i="43"/>
  <c r="M65" i="43" s="1"/>
  <c r="G65" i="43"/>
  <c r="F65" i="43"/>
  <c r="L65" i="43" s="1"/>
  <c r="C65" i="43"/>
  <c r="B65" i="43"/>
  <c r="K64" i="43"/>
  <c r="G64" i="43"/>
  <c r="M64" i="43" s="1"/>
  <c r="C64" i="43"/>
  <c r="F64" i="43" s="1"/>
  <c r="L64" i="43" s="1"/>
  <c r="K63" i="43"/>
  <c r="F63" i="43"/>
  <c r="L63" i="43" s="1"/>
  <c r="C63" i="43"/>
  <c r="G63" i="43" s="1"/>
  <c r="M63" i="43" s="1"/>
  <c r="B63" i="43"/>
  <c r="K62" i="43"/>
  <c r="M62" i="43" s="1"/>
  <c r="J62" i="43"/>
  <c r="F62" i="43"/>
  <c r="L62" i="43" s="1"/>
  <c r="C62" i="43"/>
  <c r="G62" i="43" s="1"/>
  <c r="B62" i="43"/>
  <c r="K61" i="43"/>
  <c r="C61" i="43"/>
  <c r="B61" i="43" s="1"/>
  <c r="K60" i="43"/>
  <c r="M60" i="43" s="1"/>
  <c r="G60" i="43"/>
  <c r="C60" i="43"/>
  <c r="F60" i="43" s="1"/>
  <c r="L60" i="43" s="1"/>
  <c r="B60" i="43"/>
  <c r="L59" i="43"/>
  <c r="K59" i="43"/>
  <c r="G59" i="43"/>
  <c r="M59" i="43" s="1"/>
  <c r="F59" i="43"/>
  <c r="C59" i="43"/>
  <c r="B59" i="43" s="1"/>
  <c r="M58" i="43"/>
  <c r="K58" i="43"/>
  <c r="J58" i="43"/>
  <c r="G58" i="43"/>
  <c r="F58" i="43"/>
  <c r="L58" i="43" s="1"/>
  <c r="C58" i="43"/>
  <c r="J57" i="43"/>
  <c r="J68" i="43" s="1"/>
  <c r="I57" i="43"/>
  <c r="H57" i="43"/>
  <c r="K57" i="43" s="1"/>
  <c r="G57" i="43"/>
  <c r="C57" i="43"/>
  <c r="F57" i="43" s="1"/>
  <c r="L57" i="43" s="1"/>
  <c r="B57" i="43"/>
  <c r="H56" i="43"/>
  <c r="D56" i="43"/>
  <c r="D85" i="43" s="1"/>
  <c r="B56" i="43"/>
  <c r="K55" i="43"/>
  <c r="J55" i="43"/>
  <c r="F55" i="43"/>
  <c r="L55" i="43" s="1"/>
  <c r="C55" i="43"/>
  <c r="G55" i="43" s="1"/>
  <c r="K54" i="43"/>
  <c r="J54" i="43"/>
  <c r="C54" i="43"/>
  <c r="G54" i="43" s="1"/>
  <c r="L53" i="43"/>
  <c r="K53" i="43"/>
  <c r="G53" i="43"/>
  <c r="M53" i="43" s="1"/>
  <c r="F53" i="43"/>
  <c r="C53" i="43"/>
  <c r="L52" i="43"/>
  <c r="J52" i="43"/>
  <c r="K52" i="43" s="1"/>
  <c r="M52" i="43" s="1"/>
  <c r="I52" i="43"/>
  <c r="G52" i="43"/>
  <c r="F52" i="43"/>
  <c r="C52" i="43"/>
  <c r="L51" i="43"/>
  <c r="J51" i="43"/>
  <c r="K51" i="43" s="1"/>
  <c r="M51" i="43" s="1"/>
  <c r="I51" i="43"/>
  <c r="G51" i="43"/>
  <c r="F51" i="43"/>
  <c r="C51" i="43"/>
  <c r="L50" i="43"/>
  <c r="K50" i="43"/>
  <c r="M50" i="43" s="1"/>
  <c r="G50" i="43"/>
  <c r="C50" i="43"/>
  <c r="L49" i="43"/>
  <c r="K49" i="43"/>
  <c r="C49" i="43"/>
  <c r="G49" i="43" s="1"/>
  <c r="M49" i="43" s="1"/>
  <c r="L48" i="43"/>
  <c r="K48" i="43"/>
  <c r="G48" i="43"/>
  <c r="M48" i="43" s="1"/>
  <c r="F48" i="43"/>
  <c r="C48" i="43"/>
  <c r="L47" i="43"/>
  <c r="J47" i="43"/>
  <c r="K47" i="43" s="1"/>
  <c r="F47" i="43"/>
  <c r="C47" i="43"/>
  <c r="G47" i="43" s="1"/>
  <c r="K46" i="43"/>
  <c r="M46" i="43" s="1"/>
  <c r="G46" i="43"/>
  <c r="F46" i="43"/>
  <c r="L46" i="43" s="1"/>
  <c r="C46" i="43"/>
  <c r="K45" i="43"/>
  <c r="F45" i="43"/>
  <c r="L45" i="43" s="1"/>
  <c r="C45" i="43"/>
  <c r="C56" i="43" s="1"/>
  <c r="K44" i="43"/>
  <c r="M44" i="43" s="1"/>
  <c r="G44" i="43"/>
  <c r="C44" i="43"/>
  <c r="F44" i="43" s="1"/>
  <c r="L44" i="43" s="1"/>
  <c r="M43" i="43"/>
  <c r="L43" i="43"/>
  <c r="K43" i="43"/>
  <c r="J43" i="43"/>
  <c r="G43" i="43"/>
  <c r="F43" i="43"/>
  <c r="E43" i="43"/>
  <c r="E56" i="43" s="1"/>
  <c r="E85" i="43" s="1"/>
  <c r="L42" i="43"/>
  <c r="J42" i="43"/>
  <c r="K42" i="43" s="1"/>
  <c r="I42" i="43"/>
  <c r="I56" i="43" s="1"/>
  <c r="I85" i="43" s="1"/>
  <c r="G42" i="43"/>
  <c r="F42" i="43"/>
  <c r="F56" i="43" s="1"/>
  <c r="C42" i="43"/>
  <c r="C41" i="43"/>
  <c r="B41" i="43"/>
  <c r="K40" i="43"/>
  <c r="J40" i="43"/>
  <c r="I40" i="43"/>
  <c r="F40" i="43"/>
  <c r="L40" i="43" s="1"/>
  <c r="D40" i="43"/>
  <c r="G40" i="43" s="1"/>
  <c r="L39" i="43"/>
  <c r="K39" i="43"/>
  <c r="M39" i="43" s="1"/>
  <c r="G39" i="43"/>
  <c r="F39" i="43"/>
  <c r="D39" i="43"/>
  <c r="D41" i="43" s="1"/>
  <c r="M38" i="43"/>
  <c r="K38" i="43"/>
  <c r="G38" i="43"/>
  <c r="F38" i="43"/>
  <c r="L38" i="43" s="1"/>
  <c r="J37" i="43"/>
  <c r="I37" i="43"/>
  <c r="K37" i="43" s="1"/>
  <c r="M37" i="43" s="1"/>
  <c r="G37" i="43"/>
  <c r="E37" i="43"/>
  <c r="F37" i="43" s="1"/>
  <c r="L37" i="43" s="1"/>
  <c r="H36" i="43"/>
  <c r="K36" i="43" s="1"/>
  <c r="M36" i="43" s="1"/>
  <c r="G36" i="43"/>
  <c r="F36" i="43"/>
  <c r="L36" i="43" s="1"/>
  <c r="L35" i="43"/>
  <c r="K35" i="43"/>
  <c r="M35" i="43" s="1"/>
  <c r="G35" i="43"/>
  <c r="L34" i="43"/>
  <c r="K34" i="43"/>
  <c r="M34" i="43" s="1"/>
  <c r="G34" i="43"/>
  <c r="L33" i="43"/>
  <c r="K33" i="43"/>
  <c r="M33" i="43" s="1"/>
  <c r="G33" i="43"/>
  <c r="L32" i="43"/>
  <c r="K32" i="43"/>
  <c r="M32" i="43" s="1"/>
  <c r="G32" i="43"/>
  <c r="L31" i="43"/>
  <c r="K31" i="43"/>
  <c r="M31" i="43" s="1"/>
  <c r="G31" i="43"/>
  <c r="F31" i="43"/>
  <c r="K30" i="43"/>
  <c r="M30" i="43" s="1"/>
  <c r="J30" i="43"/>
  <c r="G30" i="43"/>
  <c r="F30" i="43"/>
  <c r="L30" i="43" s="1"/>
  <c r="E30" i="43"/>
  <c r="E41" i="43" s="1"/>
  <c r="L29" i="43"/>
  <c r="K29" i="43"/>
  <c r="M29" i="43" s="1"/>
  <c r="G29" i="43"/>
  <c r="F29" i="43"/>
  <c r="M28" i="43"/>
  <c r="K28" i="43"/>
  <c r="G28" i="43"/>
  <c r="F28" i="43"/>
  <c r="L28" i="43" s="1"/>
  <c r="M27" i="43"/>
  <c r="L27" i="43"/>
  <c r="K27" i="43"/>
  <c r="G27" i="43"/>
  <c r="F27" i="43"/>
  <c r="J26" i="43"/>
  <c r="I26" i="43"/>
  <c r="K26" i="43" s="1"/>
  <c r="M26" i="43" s="1"/>
  <c r="H26" i="43"/>
  <c r="G26" i="43"/>
  <c r="F26" i="43"/>
  <c r="L26" i="43" s="1"/>
  <c r="J25" i="43"/>
  <c r="J41" i="43" s="1"/>
  <c r="I25" i="43"/>
  <c r="I41" i="43" s="1"/>
  <c r="H25" i="43"/>
  <c r="H41" i="43" s="1"/>
  <c r="G25" i="43"/>
  <c r="G41" i="43" s="1"/>
  <c r="F25" i="43"/>
  <c r="C25" i="43"/>
  <c r="B25" i="43"/>
  <c r="E24" i="43"/>
  <c r="D24" i="43"/>
  <c r="B24" i="43"/>
  <c r="K23" i="43"/>
  <c r="M23" i="43" s="1"/>
  <c r="G23" i="43"/>
  <c r="F23" i="43"/>
  <c r="L23" i="43" s="1"/>
  <c r="L22" i="43"/>
  <c r="G22" i="43"/>
  <c r="F22" i="43"/>
  <c r="L21" i="43"/>
  <c r="K21" i="43"/>
  <c r="G21" i="43"/>
  <c r="L20" i="43"/>
  <c r="K20" i="43"/>
  <c r="G20" i="43"/>
  <c r="L19" i="43"/>
  <c r="K19" i="43"/>
  <c r="M19" i="43" s="1"/>
  <c r="G19" i="43"/>
  <c r="B19" i="43"/>
  <c r="M18" i="43"/>
  <c r="L18" i="43"/>
  <c r="K18" i="43"/>
  <c r="G18" i="43"/>
  <c r="K17" i="43"/>
  <c r="M17" i="43" s="1"/>
  <c r="G17" i="43"/>
  <c r="F17" i="43"/>
  <c r="L17" i="43" s="1"/>
  <c r="G16" i="43"/>
  <c r="F16" i="43"/>
  <c r="L16" i="43" s="1"/>
  <c r="L15" i="43"/>
  <c r="K15" i="43"/>
  <c r="G15" i="43"/>
  <c r="M15" i="43" s="1"/>
  <c r="F15" i="43"/>
  <c r="K14" i="43"/>
  <c r="G14" i="43"/>
  <c r="F14" i="43"/>
  <c r="L14" i="43" s="1"/>
  <c r="K13" i="43"/>
  <c r="M13" i="43" s="1"/>
  <c r="G13" i="43"/>
  <c r="F13" i="43"/>
  <c r="L13" i="43" s="1"/>
  <c r="G12" i="43"/>
  <c r="F12" i="43"/>
  <c r="L12" i="43" s="1"/>
  <c r="K11" i="43"/>
  <c r="K41" i="42" l="1"/>
  <c r="J24" i="42"/>
  <c r="K12" i="42"/>
  <c r="M12" i="42" s="1"/>
  <c r="H24" i="42"/>
  <c r="M22" i="42"/>
  <c r="M15" i="42"/>
  <c r="M14" i="42"/>
  <c r="M23" i="42"/>
  <c r="M16" i="42"/>
  <c r="M13" i="42"/>
  <c r="G24" i="42"/>
  <c r="M44" i="42"/>
  <c r="M54" i="42"/>
  <c r="M37" i="42"/>
  <c r="M39" i="42"/>
  <c r="G41" i="42"/>
  <c r="J85" i="42"/>
  <c r="B85" i="42"/>
  <c r="K68" i="42"/>
  <c r="M25" i="42"/>
  <c r="F44" i="42"/>
  <c r="L44" i="42" s="1"/>
  <c r="G54" i="42"/>
  <c r="F57" i="42"/>
  <c r="L57" i="42" s="1"/>
  <c r="F60" i="42"/>
  <c r="L60" i="42" s="1"/>
  <c r="G61" i="42"/>
  <c r="M61" i="42" s="1"/>
  <c r="F61" i="42"/>
  <c r="L61" i="42" s="1"/>
  <c r="M69" i="42"/>
  <c r="K11" i="42"/>
  <c r="G39" i="42"/>
  <c r="G44" i="42"/>
  <c r="G56" i="42" s="1"/>
  <c r="G57" i="42"/>
  <c r="K77" i="42"/>
  <c r="M77" i="42" s="1"/>
  <c r="F47" i="42"/>
  <c r="L47" i="42" s="1"/>
  <c r="F37" i="42"/>
  <c r="L37" i="42" s="1"/>
  <c r="F11" i="42"/>
  <c r="I24" i="43"/>
  <c r="J24" i="43"/>
  <c r="M20" i="43"/>
  <c r="M14" i="43"/>
  <c r="H24" i="43"/>
  <c r="M21" i="43"/>
  <c r="M22" i="43"/>
  <c r="C24" i="43"/>
  <c r="F11" i="43"/>
  <c r="L11" i="43" s="1"/>
  <c r="G24" i="43"/>
  <c r="M12" i="43"/>
  <c r="K56" i="43"/>
  <c r="M42" i="43"/>
  <c r="F41" i="43"/>
  <c r="M40" i="43"/>
  <c r="K68" i="43"/>
  <c r="M57" i="43"/>
  <c r="M55" i="43"/>
  <c r="M70" i="43"/>
  <c r="M47" i="43"/>
  <c r="H85" i="43"/>
  <c r="G56" i="43"/>
  <c r="M54" i="43"/>
  <c r="K16" i="43"/>
  <c r="M16" i="43" s="1"/>
  <c r="L25" i="43"/>
  <c r="G45" i="43"/>
  <c r="M45" i="43" s="1"/>
  <c r="F54" i="43"/>
  <c r="L54" i="43" s="1"/>
  <c r="F61" i="43"/>
  <c r="L61" i="43" s="1"/>
  <c r="M69" i="43"/>
  <c r="K25" i="43"/>
  <c r="G61" i="43"/>
  <c r="G68" i="43" s="1"/>
  <c r="H68" i="43"/>
  <c r="B66" i="43"/>
  <c r="K77" i="43"/>
  <c r="M77" i="43" s="1"/>
  <c r="M11" i="43"/>
  <c r="B64" i="43"/>
  <c r="B68" i="43" s="1"/>
  <c r="B85" i="43" s="1"/>
  <c r="C68" i="43"/>
  <c r="F68" i="43" s="1"/>
  <c r="F85" i="43" s="1"/>
  <c r="J56" i="43"/>
  <c r="J85" i="43" s="1"/>
  <c r="G12" i="41"/>
  <c r="J23" i="41"/>
  <c r="H22" i="41"/>
  <c r="H24" i="41" s="1"/>
  <c r="J16" i="41"/>
  <c r="J12" i="41"/>
  <c r="J11" i="41"/>
  <c r="I23" i="41"/>
  <c r="I12" i="41"/>
  <c r="I24" i="41" s="1"/>
  <c r="I11" i="41"/>
  <c r="H12" i="41"/>
  <c r="H11" i="41"/>
  <c r="I90" i="41"/>
  <c r="J84" i="41"/>
  <c r="I84" i="41"/>
  <c r="H84" i="41"/>
  <c r="G84" i="41"/>
  <c r="F84" i="41"/>
  <c r="E84" i="41"/>
  <c r="D84" i="41"/>
  <c r="C84" i="41"/>
  <c r="B84" i="41"/>
  <c r="K83" i="41"/>
  <c r="M83" i="41" s="1"/>
  <c r="J83" i="41"/>
  <c r="K82" i="41"/>
  <c r="M82" i="41" s="1"/>
  <c r="K81" i="41"/>
  <c r="K84" i="41" s="1"/>
  <c r="M84" i="41" s="1"/>
  <c r="M80" i="41"/>
  <c r="K80" i="41"/>
  <c r="M79" i="41"/>
  <c r="K79" i="41"/>
  <c r="K78" i="41"/>
  <c r="M78" i="41" s="1"/>
  <c r="K77" i="41"/>
  <c r="M77" i="41" s="1"/>
  <c r="J77" i="41"/>
  <c r="I77" i="41"/>
  <c r="H77" i="41"/>
  <c r="G77" i="41"/>
  <c r="F77" i="41"/>
  <c r="E77" i="41"/>
  <c r="D77" i="41"/>
  <c r="C77" i="41"/>
  <c r="B77" i="41"/>
  <c r="K76" i="41"/>
  <c r="M76" i="41" s="1"/>
  <c r="M75" i="41"/>
  <c r="K75" i="41"/>
  <c r="K74" i="41"/>
  <c r="M74" i="41" s="1"/>
  <c r="K73" i="41"/>
  <c r="M73" i="41" s="1"/>
  <c r="J73" i="41"/>
  <c r="I73" i="41"/>
  <c r="H73" i="41"/>
  <c r="G73" i="41"/>
  <c r="F73" i="41"/>
  <c r="E73" i="41"/>
  <c r="D73" i="41"/>
  <c r="C73" i="41"/>
  <c r="B73" i="41"/>
  <c r="M72" i="41"/>
  <c r="K72" i="41"/>
  <c r="K71" i="41"/>
  <c r="M71" i="41" s="1"/>
  <c r="K70" i="41"/>
  <c r="J70" i="41"/>
  <c r="I70" i="41"/>
  <c r="H70" i="41"/>
  <c r="F70" i="41"/>
  <c r="E70" i="41"/>
  <c r="D70" i="41"/>
  <c r="C70" i="41"/>
  <c r="B70" i="41"/>
  <c r="K69" i="41"/>
  <c r="M69" i="41" s="1"/>
  <c r="G69" i="41"/>
  <c r="G70" i="41" s="1"/>
  <c r="I68" i="41"/>
  <c r="H68" i="41"/>
  <c r="H85" i="41" s="1"/>
  <c r="E68" i="41"/>
  <c r="D68" i="41"/>
  <c r="J67" i="41"/>
  <c r="K67" i="41" s="1"/>
  <c r="M67" i="41" s="1"/>
  <c r="G67" i="41"/>
  <c r="C67" i="41"/>
  <c r="F67" i="41" s="1"/>
  <c r="L67" i="41" s="1"/>
  <c r="B67" i="41"/>
  <c r="J66" i="41"/>
  <c r="H66" i="41"/>
  <c r="K66" i="41" s="1"/>
  <c r="C66" i="41"/>
  <c r="G66" i="41" s="1"/>
  <c r="B66" i="41"/>
  <c r="M65" i="41"/>
  <c r="K65" i="41"/>
  <c r="G65" i="41"/>
  <c r="C65" i="41"/>
  <c r="F65" i="41" s="1"/>
  <c r="L65" i="41" s="1"/>
  <c r="B65" i="41"/>
  <c r="M64" i="41"/>
  <c r="L64" i="41"/>
  <c r="K64" i="41"/>
  <c r="G64" i="41"/>
  <c r="F64" i="41"/>
  <c r="C64" i="41"/>
  <c r="B64" i="41"/>
  <c r="L63" i="41"/>
  <c r="K63" i="41"/>
  <c r="F63" i="41"/>
  <c r="C63" i="41"/>
  <c r="B63" i="41" s="1"/>
  <c r="J62" i="41"/>
  <c r="K62" i="41" s="1"/>
  <c r="F62" i="41"/>
  <c r="L62" i="41" s="1"/>
  <c r="C62" i="41"/>
  <c r="B62" i="41" s="1"/>
  <c r="K61" i="41"/>
  <c r="M61" i="41" s="1"/>
  <c r="G61" i="41"/>
  <c r="C61" i="41"/>
  <c r="B61" i="41" s="1"/>
  <c r="K60" i="41"/>
  <c r="M60" i="41" s="1"/>
  <c r="G60" i="41"/>
  <c r="F60" i="41"/>
  <c r="L60" i="41" s="1"/>
  <c r="C60" i="41"/>
  <c r="B60" i="41"/>
  <c r="K59" i="41"/>
  <c r="C59" i="41"/>
  <c r="G59" i="41" s="1"/>
  <c r="M59" i="41" s="1"/>
  <c r="J58" i="41"/>
  <c r="K58" i="41" s="1"/>
  <c r="C58" i="41"/>
  <c r="F58" i="41" s="1"/>
  <c r="L58" i="41" s="1"/>
  <c r="J57" i="41"/>
  <c r="J68" i="41" s="1"/>
  <c r="I57" i="41"/>
  <c r="H57" i="41"/>
  <c r="K57" i="41" s="1"/>
  <c r="G57" i="41"/>
  <c r="F57" i="41"/>
  <c r="L57" i="41" s="1"/>
  <c r="C57" i="41"/>
  <c r="C68" i="41" s="1"/>
  <c r="F68" i="41" s="1"/>
  <c r="B57" i="41"/>
  <c r="H56" i="41"/>
  <c r="D56" i="41"/>
  <c r="D85" i="41" s="1"/>
  <c r="B56" i="41"/>
  <c r="J55" i="41"/>
  <c r="K55" i="41" s="1"/>
  <c r="F55" i="41"/>
  <c r="L55" i="41" s="1"/>
  <c r="C55" i="41"/>
  <c r="G55" i="41" s="1"/>
  <c r="J54" i="41"/>
  <c r="K54" i="41" s="1"/>
  <c r="M54" i="41" s="1"/>
  <c r="G54" i="41"/>
  <c r="C54" i="41"/>
  <c r="F54" i="41" s="1"/>
  <c r="L54" i="41" s="1"/>
  <c r="K53" i="41"/>
  <c r="C53" i="41"/>
  <c r="G53" i="41" s="1"/>
  <c r="M53" i="41" s="1"/>
  <c r="K52" i="41"/>
  <c r="J52" i="41"/>
  <c r="I52" i="41"/>
  <c r="C52" i="41"/>
  <c r="F52" i="41" s="1"/>
  <c r="L52" i="41" s="1"/>
  <c r="K51" i="41"/>
  <c r="J51" i="41"/>
  <c r="I51" i="41"/>
  <c r="C51" i="41"/>
  <c r="F51" i="41" s="1"/>
  <c r="L51" i="41" s="1"/>
  <c r="L50" i="41"/>
  <c r="K50" i="41"/>
  <c r="C50" i="41"/>
  <c r="G50" i="41" s="1"/>
  <c r="L49" i="41"/>
  <c r="K49" i="41"/>
  <c r="C49" i="41"/>
  <c r="G49" i="41" s="1"/>
  <c r="K48" i="41"/>
  <c r="C48" i="41"/>
  <c r="G48" i="41" s="1"/>
  <c r="M48" i="41" s="1"/>
  <c r="K47" i="41"/>
  <c r="J47" i="41"/>
  <c r="C47" i="41"/>
  <c r="G47" i="41" s="1"/>
  <c r="M46" i="41"/>
  <c r="K46" i="41"/>
  <c r="G46" i="41"/>
  <c r="C46" i="41"/>
  <c r="F46" i="41" s="1"/>
  <c r="L46" i="41" s="1"/>
  <c r="L45" i="41"/>
  <c r="K45" i="41"/>
  <c r="F45" i="41"/>
  <c r="C45" i="41"/>
  <c r="G45" i="41" s="1"/>
  <c r="K44" i="41"/>
  <c r="M44" i="41" s="1"/>
  <c r="G44" i="41"/>
  <c r="F44" i="41"/>
  <c r="L44" i="41" s="1"/>
  <c r="C44" i="41"/>
  <c r="J43" i="41"/>
  <c r="K43" i="41" s="1"/>
  <c r="E43" i="41"/>
  <c r="F43" i="41" s="1"/>
  <c r="L43" i="41" s="1"/>
  <c r="K42" i="41"/>
  <c r="J42" i="41"/>
  <c r="J56" i="41" s="1"/>
  <c r="J85" i="41" s="1"/>
  <c r="I42" i="41"/>
  <c r="I56" i="41" s="1"/>
  <c r="I85" i="41" s="1"/>
  <c r="C42" i="41"/>
  <c r="C56" i="41" s="1"/>
  <c r="C85" i="41" s="1"/>
  <c r="J40" i="41"/>
  <c r="I40" i="41"/>
  <c r="K40" i="41" s="1"/>
  <c r="M40" i="41" s="1"/>
  <c r="F40" i="41"/>
  <c r="L40" i="41" s="1"/>
  <c r="D40" i="41"/>
  <c r="G40" i="41" s="1"/>
  <c r="K39" i="41"/>
  <c r="M39" i="41" s="1"/>
  <c r="G39" i="41"/>
  <c r="F39" i="41"/>
  <c r="L39" i="41" s="1"/>
  <c r="D39" i="41"/>
  <c r="D41" i="41" s="1"/>
  <c r="M38" i="41"/>
  <c r="K38" i="41"/>
  <c r="G38" i="41"/>
  <c r="F38" i="41"/>
  <c r="L38" i="41" s="1"/>
  <c r="J37" i="41"/>
  <c r="K37" i="41" s="1"/>
  <c r="M37" i="41" s="1"/>
  <c r="I37" i="41"/>
  <c r="E37" i="41"/>
  <c r="G37" i="41" s="1"/>
  <c r="L36" i="41"/>
  <c r="H36" i="41"/>
  <c r="K36" i="41" s="1"/>
  <c r="M36" i="41" s="1"/>
  <c r="G36" i="41"/>
  <c r="F36" i="41"/>
  <c r="L35" i="41"/>
  <c r="K35" i="41"/>
  <c r="M35" i="41" s="1"/>
  <c r="G35" i="41"/>
  <c r="L34" i="41"/>
  <c r="K34" i="41"/>
  <c r="G34" i="41"/>
  <c r="M34" i="41" s="1"/>
  <c r="L33" i="41"/>
  <c r="K33" i="41"/>
  <c r="M33" i="41" s="1"/>
  <c r="G33" i="41"/>
  <c r="L32" i="41"/>
  <c r="K32" i="41"/>
  <c r="M32" i="41" s="1"/>
  <c r="G32" i="41"/>
  <c r="K31" i="41"/>
  <c r="M31" i="41" s="1"/>
  <c r="G31" i="41"/>
  <c r="F31" i="41"/>
  <c r="L31" i="41" s="1"/>
  <c r="K30" i="41"/>
  <c r="J30" i="41"/>
  <c r="E30" i="41"/>
  <c r="E41" i="41" s="1"/>
  <c r="L29" i="41"/>
  <c r="K29" i="41"/>
  <c r="M29" i="41" s="1"/>
  <c r="G29" i="41"/>
  <c r="F29" i="41"/>
  <c r="L28" i="41"/>
  <c r="K28" i="41"/>
  <c r="M28" i="41" s="1"/>
  <c r="G28" i="41"/>
  <c r="F28" i="41"/>
  <c r="K27" i="41"/>
  <c r="M27" i="41" s="1"/>
  <c r="G27" i="41"/>
  <c r="F27" i="41"/>
  <c r="L27" i="41" s="1"/>
  <c r="J26" i="41"/>
  <c r="I26" i="41"/>
  <c r="H26" i="41"/>
  <c r="K26" i="41" s="1"/>
  <c r="M26" i="41" s="1"/>
  <c r="G26" i="41"/>
  <c r="F26" i="41"/>
  <c r="L26" i="41" s="1"/>
  <c r="J25" i="41"/>
  <c r="J41" i="41" s="1"/>
  <c r="I25" i="41"/>
  <c r="I41" i="41" s="1"/>
  <c r="H25" i="41"/>
  <c r="H41" i="41" s="1"/>
  <c r="C25" i="41"/>
  <c r="F25" i="41" s="1"/>
  <c r="B25" i="41"/>
  <c r="B41" i="41" s="1"/>
  <c r="E24" i="41"/>
  <c r="D24" i="41"/>
  <c r="G23" i="41"/>
  <c r="F23" i="41"/>
  <c r="L23" i="41" s="1"/>
  <c r="G22" i="41"/>
  <c r="F22" i="41"/>
  <c r="L22" i="41" s="1"/>
  <c r="L21" i="41"/>
  <c r="K21" i="41"/>
  <c r="G21" i="41"/>
  <c r="L20" i="41"/>
  <c r="K20" i="41"/>
  <c r="G20" i="41"/>
  <c r="L19" i="41"/>
  <c r="K19" i="41"/>
  <c r="M19" i="41" s="1"/>
  <c r="G19" i="41"/>
  <c r="B19" i="41"/>
  <c r="B24" i="41" s="1"/>
  <c r="L18" i="41"/>
  <c r="K18" i="41"/>
  <c r="M18" i="41" s="1"/>
  <c r="G18" i="41"/>
  <c r="K17" i="41"/>
  <c r="G17" i="41"/>
  <c r="F17" i="41"/>
  <c r="L17" i="41" s="1"/>
  <c r="K16" i="41"/>
  <c r="G16" i="41"/>
  <c r="F16" i="41"/>
  <c r="L16" i="41" s="1"/>
  <c r="K15" i="41"/>
  <c r="G15" i="41"/>
  <c r="F15" i="41"/>
  <c r="L15" i="41" s="1"/>
  <c r="K14" i="41"/>
  <c r="M14" i="41" s="1"/>
  <c r="G14" i="41"/>
  <c r="F14" i="41"/>
  <c r="L14" i="41" s="1"/>
  <c r="K13" i="41"/>
  <c r="G13" i="41"/>
  <c r="F13" i="41"/>
  <c r="L13" i="41" s="1"/>
  <c r="F12" i="41"/>
  <c r="L12" i="41" s="1"/>
  <c r="G85" i="42" l="1"/>
  <c r="L11" i="42"/>
  <c r="F24" i="42"/>
  <c r="M57" i="42"/>
  <c r="G68" i="42"/>
  <c r="M68" i="42" s="1"/>
  <c r="F41" i="42"/>
  <c r="K24" i="42"/>
  <c r="M11" i="42"/>
  <c r="M24" i="42" s="1"/>
  <c r="M41" i="42"/>
  <c r="F56" i="42"/>
  <c r="F85" i="42" s="1"/>
  <c r="K85" i="42"/>
  <c r="K24" i="43"/>
  <c r="M24" i="43"/>
  <c r="F24" i="43"/>
  <c r="G85" i="43"/>
  <c r="K85" i="43"/>
  <c r="M68" i="43"/>
  <c r="M61" i="43"/>
  <c r="C85" i="43"/>
  <c r="M25" i="43"/>
  <c r="M41" i="43" s="1"/>
  <c r="K41" i="43"/>
  <c r="C24" i="41"/>
  <c r="J24" i="41"/>
  <c r="K22" i="41"/>
  <c r="K23" i="41"/>
  <c r="M23" i="41" s="1"/>
  <c r="K12" i="41"/>
  <c r="M12" i="41" s="1"/>
  <c r="M16" i="41"/>
  <c r="M22" i="41"/>
  <c r="M20" i="41"/>
  <c r="M17" i="41"/>
  <c r="M15" i="41"/>
  <c r="M13" i="41"/>
  <c r="M21" i="41"/>
  <c r="K56" i="41"/>
  <c r="M50" i="41"/>
  <c r="M45" i="41"/>
  <c r="M47" i="41"/>
  <c r="M52" i="41"/>
  <c r="M55" i="41"/>
  <c r="K68" i="41"/>
  <c r="M57" i="41"/>
  <c r="M70" i="41"/>
  <c r="L25" i="41"/>
  <c r="M49" i="41"/>
  <c r="B68" i="41"/>
  <c r="B85" i="41" s="1"/>
  <c r="M66" i="41"/>
  <c r="F48" i="41"/>
  <c r="L48" i="41" s="1"/>
  <c r="K25" i="41"/>
  <c r="C41" i="41"/>
  <c r="F53" i="41"/>
  <c r="L53" i="41" s="1"/>
  <c r="G11" i="41"/>
  <c r="G24" i="41" s="1"/>
  <c r="E56" i="41"/>
  <c r="E85" i="41" s="1"/>
  <c r="B59" i="41"/>
  <c r="F61" i="41"/>
  <c r="L61" i="41" s="1"/>
  <c r="G62" i="41"/>
  <c r="M62" i="41" s="1"/>
  <c r="G63" i="41"/>
  <c r="M63" i="41" s="1"/>
  <c r="F30" i="41"/>
  <c r="L30" i="41" s="1"/>
  <c r="F59" i="41"/>
  <c r="L59" i="41" s="1"/>
  <c r="G25" i="41"/>
  <c r="G30" i="41"/>
  <c r="M30" i="41" s="1"/>
  <c r="G42" i="41"/>
  <c r="M42" i="41" s="1"/>
  <c r="G43" i="41"/>
  <c r="M43" i="41" s="1"/>
  <c r="F47" i="41"/>
  <c r="L47" i="41" s="1"/>
  <c r="G51" i="41"/>
  <c r="M51" i="41" s="1"/>
  <c r="G52" i="41"/>
  <c r="G58" i="41"/>
  <c r="M58" i="41" s="1"/>
  <c r="M81" i="41"/>
  <c r="K11" i="41"/>
  <c r="F37" i="41"/>
  <c r="L37" i="41" s="1"/>
  <c r="F66" i="41"/>
  <c r="L66" i="41" s="1"/>
  <c r="F42" i="41"/>
  <c r="F11" i="41"/>
  <c r="J37" i="38"/>
  <c r="I37" i="38"/>
  <c r="H37" i="38"/>
  <c r="G37" i="38"/>
  <c r="F37" i="38"/>
  <c r="E37" i="38"/>
  <c r="D37" i="38"/>
  <c r="C37" i="38"/>
  <c r="B37" i="38"/>
  <c r="M25" i="41" l="1"/>
  <c r="M41" i="41" s="1"/>
  <c r="K41" i="41"/>
  <c r="F56" i="41"/>
  <c r="F85" i="41" s="1"/>
  <c r="L42" i="41"/>
  <c r="L11" i="41"/>
  <c r="F24" i="41"/>
  <c r="K24" i="41"/>
  <c r="M11" i="41"/>
  <c r="M24" i="41" s="1"/>
  <c r="G41" i="41"/>
  <c r="F41" i="41"/>
  <c r="G68" i="41"/>
  <c r="M68" i="41" s="1"/>
  <c r="G56" i="41"/>
  <c r="G85" i="41" s="1"/>
  <c r="K85" i="41"/>
  <c r="J23" i="40"/>
  <c r="I23" i="40"/>
  <c r="J16" i="40"/>
  <c r="J12" i="40"/>
  <c r="I12" i="40"/>
  <c r="J11" i="40"/>
  <c r="I11" i="40"/>
  <c r="H12" i="40"/>
  <c r="H11" i="40"/>
  <c r="C11" i="40"/>
  <c r="I90" i="40" l="1"/>
  <c r="I84" i="40"/>
  <c r="H84" i="40"/>
  <c r="G84" i="40"/>
  <c r="F84" i="40"/>
  <c r="E84" i="40"/>
  <c r="D84" i="40"/>
  <c r="C84" i="40"/>
  <c r="B84" i="40"/>
  <c r="J83" i="40"/>
  <c r="J84" i="40" s="1"/>
  <c r="K82" i="40"/>
  <c r="M82" i="40" s="1"/>
  <c r="M81" i="40"/>
  <c r="K81" i="40"/>
  <c r="M80" i="40"/>
  <c r="K80" i="40"/>
  <c r="K79" i="40"/>
  <c r="M79" i="40" s="1"/>
  <c r="K78" i="40"/>
  <c r="J77" i="40"/>
  <c r="I77" i="40"/>
  <c r="H77" i="40"/>
  <c r="G77" i="40"/>
  <c r="F77" i="40"/>
  <c r="E77" i="40"/>
  <c r="D77" i="40"/>
  <c r="C77" i="40"/>
  <c r="B77" i="40"/>
  <c r="K76" i="40"/>
  <c r="M76" i="40" s="1"/>
  <c r="K75" i="40"/>
  <c r="M75" i="40" s="1"/>
  <c r="M74" i="40"/>
  <c r="K74" i="40"/>
  <c r="K77" i="40" s="1"/>
  <c r="M77" i="40" s="1"/>
  <c r="J73" i="40"/>
  <c r="I73" i="40"/>
  <c r="H73" i="40"/>
  <c r="G73" i="40"/>
  <c r="F73" i="40"/>
  <c r="E73" i="40"/>
  <c r="D73" i="40"/>
  <c r="C73" i="40"/>
  <c r="B73" i="40"/>
  <c r="K72" i="40"/>
  <c r="M72" i="40" s="1"/>
  <c r="K71" i="40"/>
  <c r="K73" i="40" s="1"/>
  <c r="M73" i="40" s="1"/>
  <c r="K70" i="40"/>
  <c r="J70" i="40"/>
  <c r="I70" i="40"/>
  <c r="H70" i="40"/>
  <c r="F70" i="40"/>
  <c r="E70" i="40"/>
  <c r="D70" i="40"/>
  <c r="C70" i="40"/>
  <c r="B70" i="40"/>
  <c r="K69" i="40"/>
  <c r="M69" i="40" s="1"/>
  <c r="G69" i="40"/>
  <c r="G70" i="40" s="1"/>
  <c r="M70" i="40" s="1"/>
  <c r="E68" i="40"/>
  <c r="D68" i="40"/>
  <c r="D85" i="40" s="1"/>
  <c r="K67" i="40"/>
  <c r="J67" i="40"/>
  <c r="C67" i="40"/>
  <c r="B67" i="40" s="1"/>
  <c r="J66" i="40"/>
  <c r="H66" i="40"/>
  <c r="K66" i="40" s="1"/>
  <c r="F66" i="40"/>
  <c r="L66" i="40" s="1"/>
  <c r="C66" i="40"/>
  <c r="B66" i="40" s="1"/>
  <c r="K65" i="40"/>
  <c r="C65" i="40"/>
  <c r="B65" i="40" s="1"/>
  <c r="K64" i="40"/>
  <c r="C64" i="40"/>
  <c r="G64" i="40" s="1"/>
  <c r="M64" i="40" s="1"/>
  <c r="B64" i="40"/>
  <c r="K63" i="40"/>
  <c r="C63" i="40"/>
  <c r="G63" i="40" s="1"/>
  <c r="M63" i="40" s="1"/>
  <c r="B63" i="40"/>
  <c r="K62" i="40"/>
  <c r="J62" i="40"/>
  <c r="C62" i="40"/>
  <c r="G62" i="40" s="1"/>
  <c r="M62" i="40" s="1"/>
  <c r="B62" i="40"/>
  <c r="M61" i="40"/>
  <c r="L61" i="40"/>
  <c r="K61" i="40"/>
  <c r="G61" i="40"/>
  <c r="F61" i="40"/>
  <c r="C61" i="40"/>
  <c r="B61" i="40"/>
  <c r="L60" i="40"/>
  <c r="K60" i="40"/>
  <c r="M60" i="40" s="1"/>
  <c r="G60" i="40"/>
  <c r="F60" i="40"/>
  <c r="C60" i="40"/>
  <c r="B60" i="40" s="1"/>
  <c r="L59" i="40"/>
  <c r="K59" i="40"/>
  <c r="M59" i="40" s="1"/>
  <c r="G59" i="40"/>
  <c r="F59" i="40"/>
  <c r="C59" i="40"/>
  <c r="B59" i="40" s="1"/>
  <c r="L58" i="40"/>
  <c r="J58" i="40"/>
  <c r="J68" i="40" s="1"/>
  <c r="G58" i="40"/>
  <c r="F58" i="40"/>
  <c r="C58" i="40"/>
  <c r="J57" i="40"/>
  <c r="I57" i="40"/>
  <c r="I68" i="40" s="1"/>
  <c r="H57" i="40"/>
  <c r="H68" i="40" s="1"/>
  <c r="G57" i="40"/>
  <c r="F57" i="40"/>
  <c r="L57" i="40" s="1"/>
  <c r="C57" i="40"/>
  <c r="B57" i="40" s="1"/>
  <c r="H56" i="40"/>
  <c r="D56" i="40"/>
  <c r="B56" i="40"/>
  <c r="K55" i="40"/>
  <c r="J55" i="40"/>
  <c r="C55" i="40"/>
  <c r="G55" i="40" s="1"/>
  <c r="M55" i="40" s="1"/>
  <c r="L54" i="40"/>
  <c r="K54" i="40"/>
  <c r="M54" i="40" s="1"/>
  <c r="J54" i="40"/>
  <c r="G54" i="40"/>
  <c r="F54" i="40"/>
  <c r="C54" i="40"/>
  <c r="L53" i="40"/>
  <c r="K53" i="40"/>
  <c r="M53" i="40" s="1"/>
  <c r="G53" i="40"/>
  <c r="F53" i="40"/>
  <c r="C53" i="40"/>
  <c r="J52" i="40"/>
  <c r="I52" i="40"/>
  <c r="K52" i="40" s="1"/>
  <c r="M52" i="40" s="1"/>
  <c r="G52" i="40"/>
  <c r="F52" i="40"/>
  <c r="L52" i="40" s="1"/>
  <c r="C52" i="40"/>
  <c r="J51" i="40"/>
  <c r="I51" i="40"/>
  <c r="K51" i="40" s="1"/>
  <c r="M51" i="40" s="1"/>
  <c r="G51" i="40"/>
  <c r="F51" i="40"/>
  <c r="L51" i="40" s="1"/>
  <c r="C51" i="40"/>
  <c r="L50" i="40"/>
  <c r="K50" i="40"/>
  <c r="C50" i="40"/>
  <c r="G50" i="40" s="1"/>
  <c r="L49" i="40"/>
  <c r="K49" i="40"/>
  <c r="C49" i="40"/>
  <c r="G49" i="40" s="1"/>
  <c r="M49" i="40" s="1"/>
  <c r="L48" i="40"/>
  <c r="K48" i="40"/>
  <c r="M48" i="40" s="1"/>
  <c r="G48" i="40"/>
  <c r="F48" i="40"/>
  <c r="C48" i="40"/>
  <c r="J47" i="40"/>
  <c r="K47" i="40" s="1"/>
  <c r="M47" i="40" s="1"/>
  <c r="G47" i="40"/>
  <c r="F47" i="40"/>
  <c r="L47" i="40" s="1"/>
  <c r="C47" i="40"/>
  <c r="K46" i="40"/>
  <c r="C46" i="40"/>
  <c r="F46" i="40" s="1"/>
  <c r="L46" i="40" s="1"/>
  <c r="K45" i="40"/>
  <c r="C45" i="40"/>
  <c r="G45" i="40" s="1"/>
  <c r="M45" i="40" s="1"/>
  <c r="L44" i="40"/>
  <c r="K44" i="40"/>
  <c r="M44" i="40" s="1"/>
  <c r="G44" i="40"/>
  <c r="F44" i="40"/>
  <c r="C44" i="40"/>
  <c r="L43" i="40"/>
  <c r="J43" i="40"/>
  <c r="K43" i="40" s="1"/>
  <c r="M43" i="40" s="1"/>
  <c r="G43" i="40"/>
  <c r="F43" i="40"/>
  <c r="E43" i="40"/>
  <c r="E56" i="40" s="1"/>
  <c r="E85" i="40" s="1"/>
  <c r="J42" i="40"/>
  <c r="J56" i="40" s="1"/>
  <c r="I42" i="40"/>
  <c r="I56" i="40" s="1"/>
  <c r="G42" i="40"/>
  <c r="F42" i="40"/>
  <c r="C42" i="40"/>
  <c r="B41" i="40"/>
  <c r="L40" i="40"/>
  <c r="K40" i="40"/>
  <c r="J40" i="40"/>
  <c r="I40" i="40"/>
  <c r="F40" i="40"/>
  <c r="D40" i="40"/>
  <c r="G40" i="40" s="1"/>
  <c r="L39" i="40"/>
  <c r="K39" i="40"/>
  <c r="M39" i="40" s="1"/>
  <c r="G39" i="40"/>
  <c r="F39" i="40"/>
  <c r="D39" i="40"/>
  <c r="D41" i="40" s="1"/>
  <c r="K38" i="40"/>
  <c r="M38" i="40" s="1"/>
  <c r="G38" i="40"/>
  <c r="F38" i="40"/>
  <c r="L38" i="40" s="1"/>
  <c r="J37" i="40"/>
  <c r="I37" i="40"/>
  <c r="K37" i="40" s="1"/>
  <c r="M37" i="40" s="1"/>
  <c r="F37" i="40"/>
  <c r="L37" i="40" s="1"/>
  <c r="E37" i="40"/>
  <c r="G37" i="40" s="1"/>
  <c r="K36" i="40"/>
  <c r="H36" i="40"/>
  <c r="G36" i="40"/>
  <c r="M36" i="40" s="1"/>
  <c r="F36" i="40"/>
  <c r="L36" i="40" s="1"/>
  <c r="M35" i="40"/>
  <c r="L35" i="40"/>
  <c r="K35" i="40"/>
  <c r="G35" i="40"/>
  <c r="L34" i="40"/>
  <c r="K34" i="40"/>
  <c r="M34" i="40" s="1"/>
  <c r="G34" i="40"/>
  <c r="M33" i="40"/>
  <c r="L33" i="40"/>
  <c r="K33" i="40"/>
  <c r="G33" i="40"/>
  <c r="L32" i="40"/>
  <c r="K32" i="40"/>
  <c r="M32" i="40" s="1"/>
  <c r="G32" i="40"/>
  <c r="M31" i="40"/>
  <c r="L31" i="40"/>
  <c r="K31" i="40"/>
  <c r="G31" i="40"/>
  <c r="F31" i="40"/>
  <c r="J30" i="40"/>
  <c r="K30" i="40" s="1"/>
  <c r="M30" i="40" s="1"/>
  <c r="G30" i="40"/>
  <c r="F30" i="40"/>
  <c r="L30" i="40" s="1"/>
  <c r="E30" i="40"/>
  <c r="E41" i="40" s="1"/>
  <c r="K29" i="40"/>
  <c r="M29" i="40" s="1"/>
  <c r="G29" i="40"/>
  <c r="F29" i="40"/>
  <c r="L29" i="40" s="1"/>
  <c r="M28" i="40"/>
  <c r="L28" i="40"/>
  <c r="K28" i="40"/>
  <c r="G28" i="40"/>
  <c r="F28" i="40"/>
  <c r="L27" i="40"/>
  <c r="K27" i="40"/>
  <c r="M27" i="40" s="1"/>
  <c r="G27" i="40"/>
  <c r="F27" i="40"/>
  <c r="J26" i="40"/>
  <c r="I26" i="40"/>
  <c r="H26" i="40"/>
  <c r="K26" i="40" s="1"/>
  <c r="M26" i="40" s="1"/>
  <c r="G26" i="40"/>
  <c r="F26" i="40"/>
  <c r="L26" i="40" s="1"/>
  <c r="J25" i="40"/>
  <c r="J41" i="40" s="1"/>
  <c r="I25" i="40"/>
  <c r="I41" i="40" s="1"/>
  <c r="H25" i="40"/>
  <c r="H41" i="40" s="1"/>
  <c r="G25" i="40"/>
  <c r="F25" i="40"/>
  <c r="F41" i="40" s="1"/>
  <c r="C25" i="40"/>
  <c r="C41" i="40" s="1"/>
  <c r="B25" i="40"/>
  <c r="H24" i="40"/>
  <c r="E24" i="40"/>
  <c r="D24" i="40"/>
  <c r="C24" i="40"/>
  <c r="K23" i="40"/>
  <c r="G23" i="40"/>
  <c r="F23" i="40"/>
  <c r="L23" i="40" s="1"/>
  <c r="L22" i="40"/>
  <c r="K22" i="40"/>
  <c r="G22" i="40"/>
  <c r="F22" i="40"/>
  <c r="L21" i="40"/>
  <c r="K21" i="40"/>
  <c r="G21" i="40"/>
  <c r="M21" i="40" s="1"/>
  <c r="L20" i="40"/>
  <c r="K20" i="40"/>
  <c r="G20" i="40"/>
  <c r="L19" i="40"/>
  <c r="K19" i="40"/>
  <c r="G19" i="40"/>
  <c r="M19" i="40" s="1"/>
  <c r="B19" i="40"/>
  <c r="B24" i="40" s="1"/>
  <c r="L18" i="40"/>
  <c r="K18" i="40"/>
  <c r="G18" i="40"/>
  <c r="M18" i="40" s="1"/>
  <c r="K17" i="40"/>
  <c r="G17" i="40"/>
  <c r="F17" i="40"/>
  <c r="L17" i="40" s="1"/>
  <c r="K16" i="40"/>
  <c r="G16" i="40"/>
  <c r="F16" i="40"/>
  <c r="L16" i="40" s="1"/>
  <c r="K15" i="40"/>
  <c r="G15" i="40"/>
  <c r="F15" i="40"/>
  <c r="L15" i="40" s="1"/>
  <c r="K14" i="40"/>
  <c r="G14" i="40"/>
  <c r="F14" i="40"/>
  <c r="L14" i="40" s="1"/>
  <c r="L13" i="40"/>
  <c r="K13" i="40"/>
  <c r="G13" i="40"/>
  <c r="F13" i="40"/>
  <c r="K12" i="40"/>
  <c r="M12" i="40" s="1"/>
  <c r="G12" i="40"/>
  <c r="F12" i="40"/>
  <c r="L12" i="40" s="1"/>
  <c r="J24" i="40"/>
  <c r="K11" i="40"/>
  <c r="G11" i="40"/>
  <c r="F11" i="40"/>
  <c r="L11" i="40" s="1"/>
  <c r="M23" i="40" l="1"/>
  <c r="M13" i="40"/>
  <c r="M22" i="40"/>
  <c r="M20" i="40"/>
  <c r="M15" i="40"/>
  <c r="M14" i="40"/>
  <c r="F24" i="40"/>
  <c r="M17" i="40"/>
  <c r="M16" i="40"/>
  <c r="G24" i="40"/>
  <c r="M50" i="40"/>
  <c r="K24" i="40"/>
  <c r="M11" i="40"/>
  <c r="I85" i="40"/>
  <c r="F56" i="40"/>
  <c r="G56" i="40"/>
  <c r="J85" i="40"/>
  <c r="H85" i="40"/>
  <c r="G41" i="40"/>
  <c r="M40" i="40"/>
  <c r="B68" i="40"/>
  <c r="B85" i="40" s="1"/>
  <c r="F68" i="40"/>
  <c r="C68" i="40"/>
  <c r="F65" i="40"/>
  <c r="L65" i="40" s="1"/>
  <c r="F67" i="40"/>
  <c r="L67" i="40" s="1"/>
  <c r="M78" i="40"/>
  <c r="G46" i="40"/>
  <c r="M46" i="40" s="1"/>
  <c r="C56" i="40"/>
  <c r="C85" i="40" s="1"/>
  <c r="K57" i="40"/>
  <c r="F64" i="40"/>
  <c r="L64" i="40" s="1"/>
  <c r="G65" i="40"/>
  <c r="M65" i="40" s="1"/>
  <c r="G67" i="40"/>
  <c r="M67" i="40" s="1"/>
  <c r="K25" i="40"/>
  <c r="L42" i="40"/>
  <c r="F45" i="40"/>
  <c r="L45" i="40" s="1"/>
  <c r="F55" i="40"/>
  <c r="L55" i="40" s="1"/>
  <c r="F62" i="40"/>
  <c r="L62" i="40" s="1"/>
  <c r="F63" i="40"/>
  <c r="L63" i="40" s="1"/>
  <c r="K83" i="40"/>
  <c r="M83" i="40" s="1"/>
  <c r="K58" i="40"/>
  <c r="M58" i="40" s="1"/>
  <c r="M71" i="40"/>
  <c r="K42" i="40"/>
  <c r="L25" i="40"/>
  <c r="I24" i="40"/>
  <c r="G66" i="40"/>
  <c r="G68" i="40" s="1"/>
  <c r="H11" i="39"/>
  <c r="C11" i="39"/>
  <c r="G11" i="39" s="1"/>
  <c r="I90" i="39"/>
  <c r="I84" i="39"/>
  <c r="H84" i="39"/>
  <c r="G84" i="39"/>
  <c r="F84" i="39"/>
  <c r="E84" i="39"/>
  <c r="D84" i="39"/>
  <c r="C84" i="39"/>
  <c r="B84" i="39"/>
  <c r="J83" i="39"/>
  <c r="J84" i="39" s="1"/>
  <c r="M82" i="39"/>
  <c r="K82" i="39"/>
  <c r="M81" i="39"/>
  <c r="K81" i="39"/>
  <c r="M80" i="39"/>
  <c r="K80" i="39"/>
  <c r="K79" i="39"/>
  <c r="M79" i="39" s="1"/>
  <c r="M78" i="39"/>
  <c r="K78" i="39"/>
  <c r="J77" i="39"/>
  <c r="I77" i="39"/>
  <c r="H77" i="39"/>
  <c r="G77" i="39"/>
  <c r="F77" i="39"/>
  <c r="E77" i="39"/>
  <c r="D77" i="39"/>
  <c r="C77" i="39"/>
  <c r="B77" i="39"/>
  <c r="K76" i="39"/>
  <c r="M76" i="39" s="1"/>
  <c r="K75" i="39"/>
  <c r="M75" i="39" s="1"/>
  <c r="M74" i="39"/>
  <c r="K74" i="39"/>
  <c r="K77" i="39" s="1"/>
  <c r="M77" i="39" s="1"/>
  <c r="J73" i="39"/>
  <c r="I73" i="39"/>
  <c r="H73" i="39"/>
  <c r="G73" i="39"/>
  <c r="F73" i="39"/>
  <c r="E73" i="39"/>
  <c r="D73" i="39"/>
  <c r="C73" i="39"/>
  <c r="B73" i="39"/>
  <c r="K72" i="39"/>
  <c r="M72" i="39" s="1"/>
  <c r="M71" i="39"/>
  <c r="K71" i="39"/>
  <c r="K73" i="39" s="1"/>
  <c r="M73" i="39" s="1"/>
  <c r="J70" i="39"/>
  <c r="I70" i="39"/>
  <c r="H70" i="39"/>
  <c r="F70" i="39"/>
  <c r="E70" i="39"/>
  <c r="D70" i="39"/>
  <c r="C70" i="39"/>
  <c r="B70" i="39"/>
  <c r="K69" i="39"/>
  <c r="K70" i="39" s="1"/>
  <c r="M70" i="39" s="1"/>
  <c r="G69" i="39"/>
  <c r="G70" i="39" s="1"/>
  <c r="E68" i="39"/>
  <c r="D68" i="39"/>
  <c r="D85" i="39" s="1"/>
  <c r="J67" i="39"/>
  <c r="K67" i="39" s="1"/>
  <c r="F67" i="39"/>
  <c r="L67" i="39" s="1"/>
  <c r="C67" i="39"/>
  <c r="B67" i="39" s="1"/>
  <c r="J66" i="39"/>
  <c r="H66" i="39"/>
  <c r="K66" i="39" s="1"/>
  <c r="M66" i="39" s="1"/>
  <c r="G66" i="39"/>
  <c r="F66" i="39"/>
  <c r="L66" i="39" s="1"/>
  <c r="C66" i="39"/>
  <c r="B66" i="39" s="1"/>
  <c r="K65" i="39"/>
  <c r="F65" i="39"/>
  <c r="L65" i="39" s="1"/>
  <c r="C65" i="39"/>
  <c r="B65" i="39" s="1"/>
  <c r="K64" i="39"/>
  <c r="C64" i="39"/>
  <c r="C68" i="39" s="1"/>
  <c r="K63" i="39"/>
  <c r="C63" i="39"/>
  <c r="G63" i="39" s="1"/>
  <c r="M63" i="39" s="1"/>
  <c r="B63" i="39"/>
  <c r="K62" i="39"/>
  <c r="J62" i="39"/>
  <c r="C62" i="39"/>
  <c r="G62" i="39" s="1"/>
  <c r="M62" i="39" s="1"/>
  <c r="B62" i="39"/>
  <c r="K61" i="39"/>
  <c r="C61" i="39"/>
  <c r="G61" i="39" s="1"/>
  <c r="M61" i="39" s="1"/>
  <c r="B61" i="39"/>
  <c r="M60" i="39"/>
  <c r="L60" i="39"/>
  <c r="K60" i="39"/>
  <c r="G60" i="39"/>
  <c r="F60" i="39"/>
  <c r="C60" i="39"/>
  <c r="B60" i="39"/>
  <c r="L59" i="39"/>
  <c r="K59" i="39"/>
  <c r="M59" i="39" s="1"/>
  <c r="G59" i="39"/>
  <c r="F59" i="39"/>
  <c r="C59" i="39"/>
  <c r="B59" i="39" s="1"/>
  <c r="L58" i="39"/>
  <c r="K58" i="39"/>
  <c r="M58" i="39" s="1"/>
  <c r="J58" i="39"/>
  <c r="G58" i="39"/>
  <c r="F58" i="39"/>
  <c r="C58" i="39"/>
  <c r="L57" i="39"/>
  <c r="J57" i="39"/>
  <c r="J68" i="39" s="1"/>
  <c r="I57" i="39"/>
  <c r="I68" i="39" s="1"/>
  <c r="H57" i="39"/>
  <c r="H68" i="39" s="1"/>
  <c r="G57" i="39"/>
  <c r="F57" i="39"/>
  <c r="C57" i="39"/>
  <c r="B57" i="39"/>
  <c r="H56" i="39"/>
  <c r="D56" i="39"/>
  <c r="B56" i="39"/>
  <c r="K55" i="39"/>
  <c r="J55" i="39"/>
  <c r="C55" i="39"/>
  <c r="G55" i="39" s="1"/>
  <c r="M55" i="39" s="1"/>
  <c r="K54" i="39"/>
  <c r="J54" i="39"/>
  <c r="C54" i="39"/>
  <c r="G54" i="39" s="1"/>
  <c r="M54" i="39" s="1"/>
  <c r="L53" i="39"/>
  <c r="K53" i="39"/>
  <c r="M53" i="39" s="1"/>
  <c r="G53" i="39"/>
  <c r="F53" i="39"/>
  <c r="C53" i="39"/>
  <c r="J52" i="39"/>
  <c r="I52" i="39"/>
  <c r="K52" i="39" s="1"/>
  <c r="M52" i="39" s="1"/>
  <c r="G52" i="39"/>
  <c r="F52" i="39"/>
  <c r="L52" i="39" s="1"/>
  <c r="C52" i="39"/>
  <c r="J51" i="39"/>
  <c r="I51" i="39"/>
  <c r="K51" i="39" s="1"/>
  <c r="M51" i="39" s="1"/>
  <c r="G51" i="39"/>
  <c r="F51" i="39"/>
  <c r="L51" i="39" s="1"/>
  <c r="C51" i="39"/>
  <c r="L50" i="39"/>
  <c r="K50" i="39"/>
  <c r="M50" i="39" s="1"/>
  <c r="G50" i="39"/>
  <c r="C50" i="39"/>
  <c r="L49" i="39"/>
  <c r="K49" i="39"/>
  <c r="C49" i="39"/>
  <c r="G49" i="39" s="1"/>
  <c r="M49" i="39" s="1"/>
  <c r="L48" i="39"/>
  <c r="K48" i="39"/>
  <c r="M48" i="39" s="1"/>
  <c r="G48" i="39"/>
  <c r="F48" i="39"/>
  <c r="C48" i="39"/>
  <c r="J47" i="39"/>
  <c r="K47" i="39" s="1"/>
  <c r="M47" i="39" s="1"/>
  <c r="G47" i="39"/>
  <c r="F47" i="39"/>
  <c r="L47" i="39" s="1"/>
  <c r="C47" i="39"/>
  <c r="K46" i="39"/>
  <c r="M46" i="39" s="1"/>
  <c r="F46" i="39"/>
  <c r="L46" i="39" s="1"/>
  <c r="C46" i="39"/>
  <c r="G46" i="39" s="1"/>
  <c r="K45" i="39"/>
  <c r="C45" i="39"/>
  <c r="C56" i="39" s="1"/>
  <c r="M44" i="39"/>
  <c r="L44" i="39"/>
  <c r="K44" i="39"/>
  <c r="G44" i="39"/>
  <c r="F44" i="39"/>
  <c r="C44" i="39"/>
  <c r="L43" i="39"/>
  <c r="J43" i="39"/>
  <c r="K43" i="39" s="1"/>
  <c r="M43" i="39" s="1"/>
  <c r="G43" i="39"/>
  <c r="F43" i="39"/>
  <c r="E43" i="39"/>
  <c r="E56" i="39" s="1"/>
  <c r="E85" i="39" s="1"/>
  <c r="L42" i="39"/>
  <c r="J42" i="39"/>
  <c r="J56" i="39" s="1"/>
  <c r="I42" i="39"/>
  <c r="I56" i="39" s="1"/>
  <c r="I85" i="39" s="1"/>
  <c r="G42" i="39"/>
  <c r="F42" i="39"/>
  <c r="C42" i="39"/>
  <c r="C41" i="39"/>
  <c r="B41" i="39"/>
  <c r="L40" i="39"/>
  <c r="K40" i="39"/>
  <c r="J40" i="39"/>
  <c r="I40" i="39"/>
  <c r="F40" i="39"/>
  <c r="D40" i="39"/>
  <c r="G40" i="39" s="1"/>
  <c r="M40" i="39" s="1"/>
  <c r="M39" i="39"/>
  <c r="L39" i="39"/>
  <c r="K39" i="39"/>
  <c r="G39" i="39"/>
  <c r="F39" i="39"/>
  <c r="D39" i="39"/>
  <c r="D41" i="39" s="1"/>
  <c r="L38" i="39"/>
  <c r="K38" i="39"/>
  <c r="M38" i="39" s="1"/>
  <c r="G38" i="39"/>
  <c r="F38" i="39"/>
  <c r="J37" i="39"/>
  <c r="I37" i="39"/>
  <c r="K37" i="39" s="1"/>
  <c r="M37" i="39" s="1"/>
  <c r="G37" i="39"/>
  <c r="F37" i="39"/>
  <c r="L37" i="39" s="1"/>
  <c r="E37" i="39"/>
  <c r="H36" i="39"/>
  <c r="K36" i="39" s="1"/>
  <c r="M36" i="39" s="1"/>
  <c r="G36" i="39"/>
  <c r="F36" i="39"/>
  <c r="L36" i="39" s="1"/>
  <c r="M35" i="39"/>
  <c r="L35" i="39"/>
  <c r="K35" i="39"/>
  <c r="G35" i="39"/>
  <c r="L34" i="39"/>
  <c r="K34" i="39"/>
  <c r="M34" i="39" s="1"/>
  <c r="G34" i="39"/>
  <c r="M33" i="39"/>
  <c r="L33" i="39"/>
  <c r="K33" i="39"/>
  <c r="G33" i="39"/>
  <c r="L32" i="39"/>
  <c r="K32" i="39"/>
  <c r="M32" i="39" s="1"/>
  <c r="G32" i="39"/>
  <c r="M31" i="39"/>
  <c r="L31" i="39"/>
  <c r="K31" i="39"/>
  <c r="G31" i="39"/>
  <c r="F31" i="39"/>
  <c r="L30" i="39"/>
  <c r="J30" i="39"/>
  <c r="K30" i="39" s="1"/>
  <c r="M30" i="39" s="1"/>
  <c r="G30" i="39"/>
  <c r="F30" i="39"/>
  <c r="E30" i="39"/>
  <c r="E41" i="39" s="1"/>
  <c r="K29" i="39"/>
  <c r="M29" i="39" s="1"/>
  <c r="G29" i="39"/>
  <c r="F29" i="39"/>
  <c r="L29" i="39" s="1"/>
  <c r="M28" i="39"/>
  <c r="L28" i="39"/>
  <c r="K28" i="39"/>
  <c r="G28" i="39"/>
  <c r="F28" i="39"/>
  <c r="L27" i="39"/>
  <c r="K27" i="39"/>
  <c r="M27" i="39" s="1"/>
  <c r="G27" i="39"/>
  <c r="F27" i="39"/>
  <c r="J26" i="39"/>
  <c r="I26" i="39"/>
  <c r="H26" i="39"/>
  <c r="K26" i="39" s="1"/>
  <c r="M26" i="39" s="1"/>
  <c r="G26" i="39"/>
  <c r="F26" i="39"/>
  <c r="L26" i="39" s="1"/>
  <c r="J25" i="39"/>
  <c r="J41" i="39" s="1"/>
  <c r="I25" i="39"/>
  <c r="I41" i="39" s="1"/>
  <c r="H25" i="39"/>
  <c r="H41" i="39" s="1"/>
  <c r="G25" i="39"/>
  <c r="G41" i="39" s="1"/>
  <c r="F25" i="39"/>
  <c r="F41" i="39" s="1"/>
  <c r="C25" i="39"/>
  <c r="B25" i="39"/>
  <c r="I24" i="39"/>
  <c r="H24" i="39"/>
  <c r="E24" i="39"/>
  <c r="D24" i="39"/>
  <c r="K23" i="39"/>
  <c r="J23" i="39"/>
  <c r="G23" i="39"/>
  <c r="M23" i="39" s="1"/>
  <c r="F23" i="39"/>
  <c r="L23" i="39" s="1"/>
  <c r="K22" i="39"/>
  <c r="M22" i="39" s="1"/>
  <c r="G22" i="39"/>
  <c r="F22" i="39"/>
  <c r="L22" i="39" s="1"/>
  <c r="L21" i="39"/>
  <c r="K21" i="39"/>
  <c r="M21" i="39" s="1"/>
  <c r="G21" i="39"/>
  <c r="L20" i="39"/>
  <c r="K20" i="39"/>
  <c r="G20" i="39"/>
  <c r="M20" i="39" s="1"/>
  <c r="L19" i="39"/>
  <c r="K19" i="39"/>
  <c r="M19" i="39" s="1"/>
  <c r="G19" i="39"/>
  <c r="B19" i="39"/>
  <c r="B24" i="39" s="1"/>
  <c r="L18" i="39"/>
  <c r="K18" i="39"/>
  <c r="G18" i="39"/>
  <c r="M18" i="39" s="1"/>
  <c r="K17" i="39"/>
  <c r="G17" i="39"/>
  <c r="F17" i="39"/>
  <c r="L17" i="39" s="1"/>
  <c r="K16" i="39"/>
  <c r="J16" i="39"/>
  <c r="G16" i="39"/>
  <c r="M16" i="39" s="1"/>
  <c r="F16" i="39"/>
  <c r="L16" i="39" s="1"/>
  <c r="M15" i="39"/>
  <c r="K15" i="39"/>
  <c r="G15" i="39"/>
  <c r="F15" i="39"/>
  <c r="L15" i="39" s="1"/>
  <c r="K14" i="39"/>
  <c r="G14" i="39"/>
  <c r="F14" i="39"/>
  <c r="L14" i="39" s="1"/>
  <c r="M13" i="39"/>
  <c r="K13" i="39"/>
  <c r="G13" i="39"/>
  <c r="F13" i="39"/>
  <c r="L13" i="39" s="1"/>
  <c r="K12" i="39"/>
  <c r="J12" i="39"/>
  <c r="H12" i="39"/>
  <c r="G12" i="39"/>
  <c r="F12" i="39"/>
  <c r="L12" i="39" s="1"/>
  <c r="J11" i="39"/>
  <c r="I11" i="39"/>
  <c r="J37" i="37"/>
  <c r="E37" i="37"/>
  <c r="B25" i="37"/>
  <c r="J23" i="37"/>
  <c r="J16" i="37"/>
  <c r="J12" i="37"/>
  <c r="J11" i="37"/>
  <c r="I11" i="37"/>
  <c r="M24" i="40" l="1"/>
  <c r="K84" i="40"/>
  <c r="M84" i="40" s="1"/>
  <c r="G85" i="40"/>
  <c r="M57" i="40"/>
  <c r="K68" i="40"/>
  <c r="M68" i="40" s="1"/>
  <c r="F85" i="40"/>
  <c r="M42" i="40"/>
  <c r="K56" i="40"/>
  <c r="K85" i="40" s="1"/>
  <c r="M25" i="40"/>
  <c r="M41" i="40" s="1"/>
  <c r="K41" i="40"/>
  <c r="M66" i="40"/>
  <c r="K11" i="39"/>
  <c r="M11" i="39" s="1"/>
  <c r="M17" i="39"/>
  <c r="M14" i="39"/>
  <c r="C24" i="39"/>
  <c r="G24" i="39"/>
  <c r="M12" i="39"/>
  <c r="F68" i="39"/>
  <c r="M65" i="39"/>
  <c r="C85" i="39"/>
  <c r="G56" i="39"/>
  <c r="J85" i="39"/>
  <c r="H85" i="39"/>
  <c r="K57" i="39"/>
  <c r="G65" i="39"/>
  <c r="G68" i="39" s="1"/>
  <c r="K25" i="39"/>
  <c r="F45" i="39"/>
  <c r="L45" i="39" s="1"/>
  <c r="F55" i="39"/>
  <c r="L55" i="39" s="1"/>
  <c r="F62" i="39"/>
  <c r="L62" i="39" s="1"/>
  <c r="F63" i="39"/>
  <c r="L63" i="39" s="1"/>
  <c r="G64" i="39"/>
  <c r="M64" i="39" s="1"/>
  <c r="K83" i="39"/>
  <c r="M83" i="39" s="1"/>
  <c r="G67" i="39"/>
  <c r="M67" i="39" s="1"/>
  <c r="F11" i="39"/>
  <c r="L25" i="39"/>
  <c r="G45" i="39"/>
  <c r="M45" i="39" s="1"/>
  <c r="F54" i="39"/>
  <c r="L54" i="39" s="1"/>
  <c r="F61" i="39"/>
  <c r="L61" i="39" s="1"/>
  <c r="M69" i="39"/>
  <c r="F64" i="39"/>
  <c r="L64" i="39" s="1"/>
  <c r="J24" i="39"/>
  <c r="K42" i="39"/>
  <c r="B64" i="39"/>
  <c r="B68" i="39" s="1"/>
  <c r="B85" i="39" s="1"/>
  <c r="E43" i="37"/>
  <c r="J43" i="37"/>
  <c r="H12" i="37"/>
  <c r="H11" i="37"/>
  <c r="C11" i="37"/>
  <c r="C24" i="37"/>
  <c r="K24" i="39" l="1"/>
  <c r="M24" i="39"/>
  <c r="F24" i="39"/>
  <c r="L11" i="39"/>
  <c r="K68" i="39"/>
  <c r="M68" i="39" s="1"/>
  <c r="M57" i="39"/>
  <c r="M42" i="39"/>
  <c r="K56" i="39"/>
  <c r="G85" i="39"/>
  <c r="M25" i="39"/>
  <c r="M41" i="39" s="1"/>
  <c r="K41" i="39"/>
  <c r="K84" i="39"/>
  <c r="M84" i="39" s="1"/>
  <c r="F56" i="39"/>
  <c r="F85" i="39" s="1"/>
  <c r="I90" i="37"/>
  <c r="I84" i="37"/>
  <c r="H84" i="37"/>
  <c r="G84" i="37"/>
  <c r="F84" i="37"/>
  <c r="E84" i="37"/>
  <c r="D84" i="37"/>
  <c r="C84" i="37"/>
  <c r="B84" i="37"/>
  <c r="J83" i="37"/>
  <c r="J84" i="37" s="1"/>
  <c r="M82" i="37"/>
  <c r="K82" i="37"/>
  <c r="K81" i="37"/>
  <c r="M81" i="37" s="1"/>
  <c r="K80" i="37"/>
  <c r="M80" i="37" s="1"/>
  <c r="K79" i="37"/>
  <c r="K78" i="37"/>
  <c r="M78" i="37" s="1"/>
  <c r="J77" i="37"/>
  <c r="I77" i="37"/>
  <c r="H77" i="37"/>
  <c r="G77" i="37"/>
  <c r="F77" i="37"/>
  <c r="E77" i="37"/>
  <c r="D77" i="37"/>
  <c r="C77" i="37"/>
  <c r="B77" i="37"/>
  <c r="K76" i="37"/>
  <c r="M76" i="37" s="1"/>
  <c r="K75" i="37"/>
  <c r="M75" i="37" s="1"/>
  <c r="K74" i="37"/>
  <c r="M74" i="37" s="1"/>
  <c r="J73" i="37"/>
  <c r="I73" i="37"/>
  <c r="H73" i="37"/>
  <c r="G73" i="37"/>
  <c r="F73" i="37"/>
  <c r="E73" i="37"/>
  <c r="D73" i="37"/>
  <c r="C73" i="37"/>
  <c r="B73" i="37"/>
  <c r="K72" i="37"/>
  <c r="M72" i="37" s="1"/>
  <c r="M71" i="37"/>
  <c r="K71" i="37"/>
  <c r="K73" i="37" s="1"/>
  <c r="J70" i="37"/>
  <c r="I70" i="37"/>
  <c r="H70" i="37"/>
  <c r="F70" i="37"/>
  <c r="E70" i="37"/>
  <c r="D70" i="37"/>
  <c r="C70" i="37"/>
  <c r="B70" i="37"/>
  <c r="K69" i="37"/>
  <c r="K70" i="37" s="1"/>
  <c r="G69" i="37"/>
  <c r="G70" i="37" s="1"/>
  <c r="I68" i="37"/>
  <c r="E68" i="37"/>
  <c r="D68" i="37"/>
  <c r="J67" i="37"/>
  <c r="K67" i="37" s="1"/>
  <c r="G67" i="37"/>
  <c r="F67" i="37"/>
  <c r="L67" i="37" s="1"/>
  <c r="C67" i="37"/>
  <c r="B67" i="37"/>
  <c r="J66" i="37"/>
  <c r="H66" i="37"/>
  <c r="C66" i="37"/>
  <c r="G66" i="37" s="1"/>
  <c r="B66" i="37"/>
  <c r="K65" i="37"/>
  <c r="C65" i="37"/>
  <c r="G65" i="37" s="1"/>
  <c r="B65" i="37"/>
  <c r="K64" i="37"/>
  <c r="C64" i="37"/>
  <c r="B64" i="37" s="1"/>
  <c r="K63" i="37"/>
  <c r="C63" i="37"/>
  <c r="B63" i="37" s="1"/>
  <c r="K62" i="37"/>
  <c r="J62" i="37"/>
  <c r="C62" i="37"/>
  <c r="B62" i="37" s="1"/>
  <c r="K61" i="37"/>
  <c r="C61" i="37"/>
  <c r="B61" i="37" s="1"/>
  <c r="K60" i="37"/>
  <c r="C60" i="37"/>
  <c r="F60" i="37" s="1"/>
  <c r="L60" i="37" s="1"/>
  <c r="K59" i="37"/>
  <c r="M59" i="37" s="1"/>
  <c r="G59" i="37"/>
  <c r="F59" i="37"/>
  <c r="L59" i="37" s="1"/>
  <c r="C59" i="37"/>
  <c r="B59" i="37" s="1"/>
  <c r="K58" i="37"/>
  <c r="M58" i="37" s="1"/>
  <c r="J58" i="37"/>
  <c r="C58" i="37"/>
  <c r="G58" i="37" s="1"/>
  <c r="J57" i="37"/>
  <c r="I57" i="37"/>
  <c r="H57" i="37"/>
  <c r="H68" i="37" s="1"/>
  <c r="C57" i="37"/>
  <c r="B57" i="37"/>
  <c r="H56" i="37"/>
  <c r="E56" i="37"/>
  <c r="D56" i="37"/>
  <c r="B56" i="37"/>
  <c r="K55" i="37"/>
  <c r="M55" i="37" s="1"/>
  <c r="J55" i="37"/>
  <c r="C55" i="37"/>
  <c r="G55" i="37" s="1"/>
  <c r="J54" i="37"/>
  <c r="K54" i="37" s="1"/>
  <c r="M54" i="37" s="1"/>
  <c r="C54" i="37"/>
  <c r="G54" i="37" s="1"/>
  <c r="K53" i="37"/>
  <c r="M53" i="37" s="1"/>
  <c r="G53" i="37"/>
  <c r="F53" i="37"/>
  <c r="L53" i="37" s="1"/>
  <c r="C53" i="37"/>
  <c r="K52" i="37"/>
  <c r="J52" i="37"/>
  <c r="I52" i="37"/>
  <c r="G52" i="37"/>
  <c r="F52" i="37"/>
  <c r="L52" i="37" s="1"/>
  <c r="C52" i="37"/>
  <c r="J51" i="37"/>
  <c r="I51" i="37"/>
  <c r="K51" i="37" s="1"/>
  <c r="C51" i="37"/>
  <c r="F51" i="37" s="1"/>
  <c r="L51" i="37" s="1"/>
  <c r="L50" i="37"/>
  <c r="K50" i="37"/>
  <c r="C50" i="37"/>
  <c r="G50" i="37" s="1"/>
  <c r="L49" i="37"/>
  <c r="K49" i="37"/>
  <c r="C49" i="37"/>
  <c r="G49" i="37" s="1"/>
  <c r="M49" i="37" s="1"/>
  <c r="K48" i="37"/>
  <c r="C48" i="37"/>
  <c r="G48" i="37" s="1"/>
  <c r="M48" i="37" s="1"/>
  <c r="K47" i="37"/>
  <c r="J47" i="37"/>
  <c r="C47" i="37"/>
  <c r="G47" i="37" s="1"/>
  <c r="K46" i="37"/>
  <c r="C46" i="37"/>
  <c r="G46" i="37" s="1"/>
  <c r="K45" i="37"/>
  <c r="F45" i="37"/>
  <c r="L45" i="37" s="1"/>
  <c r="C45" i="37"/>
  <c r="K44" i="37"/>
  <c r="G44" i="37"/>
  <c r="C44" i="37"/>
  <c r="F44" i="37" s="1"/>
  <c r="L44" i="37" s="1"/>
  <c r="K43" i="37"/>
  <c r="G43" i="37"/>
  <c r="F43" i="37"/>
  <c r="L43" i="37" s="1"/>
  <c r="J42" i="37"/>
  <c r="J56" i="37" s="1"/>
  <c r="I42" i="37"/>
  <c r="I56" i="37" s="1"/>
  <c r="I85" i="37" s="1"/>
  <c r="G42" i="37"/>
  <c r="C42" i="37"/>
  <c r="F42" i="37" s="1"/>
  <c r="L42" i="37" s="1"/>
  <c r="C41" i="37"/>
  <c r="J40" i="37"/>
  <c r="K40" i="37" s="1"/>
  <c r="I40" i="37"/>
  <c r="F40" i="37"/>
  <c r="L40" i="37" s="1"/>
  <c r="D40" i="37"/>
  <c r="G40" i="37" s="1"/>
  <c r="K39" i="37"/>
  <c r="F39" i="37"/>
  <c r="L39" i="37" s="1"/>
  <c r="D39" i="37"/>
  <c r="G39" i="37" s="1"/>
  <c r="L38" i="37"/>
  <c r="K38" i="37"/>
  <c r="M38" i="37" s="1"/>
  <c r="G38" i="37"/>
  <c r="F38" i="37"/>
  <c r="I37" i="37"/>
  <c r="G37" i="37"/>
  <c r="F37" i="37"/>
  <c r="L37" i="37" s="1"/>
  <c r="H36" i="37"/>
  <c r="K36" i="37" s="1"/>
  <c r="M36" i="37" s="1"/>
  <c r="G36" i="37"/>
  <c r="F36" i="37"/>
  <c r="L36" i="37" s="1"/>
  <c r="L35" i="37"/>
  <c r="K35" i="37"/>
  <c r="M35" i="37" s="1"/>
  <c r="G35" i="37"/>
  <c r="L34" i="37"/>
  <c r="K34" i="37"/>
  <c r="G34" i="37"/>
  <c r="M34" i="37" s="1"/>
  <c r="L33" i="37"/>
  <c r="K33" i="37"/>
  <c r="G33" i="37"/>
  <c r="M33" i="37" s="1"/>
  <c r="L32" i="37"/>
  <c r="K32" i="37"/>
  <c r="G32" i="37"/>
  <c r="K31" i="37"/>
  <c r="G31" i="37"/>
  <c r="F31" i="37"/>
  <c r="L31" i="37" s="1"/>
  <c r="J30" i="37"/>
  <c r="J41" i="37" s="1"/>
  <c r="G30" i="37"/>
  <c r="E30" i="37"/>
  <c r="E41" i="37" s="1"/>
  <c r="K29" i="37"/>
  <c r="M29" i="37" s="1"/>
  <c r="G29" i="37"/>
  <c r="F29" i="37"/>
  <c r="L29" i="37" s="1"/>
  <c r="L28" i="37"/>
  <c r="K28" i="37"/>
  <c r="M28" i="37" s="1"/>
  <c r="G28" i="37"/>
  <c r="F28" i="37"/>
  <c r="K27" i="37"/>
  <c r="G27" i="37"/>
  <c r="F27" i="37"/>
  <c r="L27" i="37" s="1"/>
  <c r="J26" i="37"/>
  <c r="I26" i="37"/>
  <c r="H26" i="37"/>
  <c r="G26" i="37"/>
  <c r="F26" i="37"/>
  <c r="L26" i="37" s="1"/>
  <c r="J25" i="37"/>
  <c r="I25" i="37"/>
  <c r="H25" i="37"/>
  <c r="H41" i="37" s="1"/>
  <c r="G25" i="37"/>
  <c r="C25" i="37"/>
  <c r="F25" i="37" s="1"/>
  <c r="L25" i="37" s="1"/>
  <c r="I24" i="37"/>
  <c r="D24" i="37"/>
  <c r="K23" i="37"/>
  <c r="G23" i="37"/>
  <c r="F23" i="37"/>
  <c r="L23" i="37" s="1"/>
  <c r="K22" i="37"/>
  <c r="H24" i="37"/>
  <c r="G22" i="37"/>
  <c r="F22" i="37"/>
  <c r="L22" i="37" s="1"/>
  <c r="L21" i="37"/>
  <c r="K21" i="37"/>
  <c r="G21" i="37"/>
  <c r="M21" i="37" s="1"/>
  <c r="L20" i="37"/>
  <c r="K20" i="37"/>
  <c r="G20" i="37"/>
  <c r="L19" i="37"/>
  <c r="K19" i="37"/>
  <c r="M19" i="37" s="1"/>
  <c r="G19" i="37"/>
  <c r="B19" i="37"/>
  <c r="L18" i="37"/>
  <c r="K18" i="37"/>
  <c r="G18" i="37"/>
  <c r="K17" i="37"/>
  <c r="G17" i="37"/>
  <c r="F17" i="37"/>
  <c r="L17" i="37" s="1"/>
  <c r="K16" i="37"/>
  <c r="G16" i="37"/>
  <c r="K15" i="37"/>
  <c r="G15" i="37"/>
  <c r="F15" i="37"/>
  <c r="L15" i="37" s="1"/>
  <c r="K14" i="37"/>
  <c r="G14" i="37"/>
  <c r="F14" i="37"/>
  <c r="L14" i="37" s="1"/>
  <c r="K13" i="37"/>
  <c r="G13" i="37"/>
  <c r="F13" i="37"/>
  <c r="L13" i="37" s="1"/>
  <c r="K12" i="37"/>
  <c r="G12" i="37"/>
  <c r="F12" i="37"/>
  <c r="L12" i="37" s="1"/>
  <c r="J24" i="37"/>
  <c r="K11" i="37"/>
  <c r="F11" i="37"/>
  <c r="L11" i="37" s="1"/>
  <c r="B24" i="37"/>
  <c r="G70" i="38"/>
  <c r="J65" i="38"/>
  <c r="I65" i="38"/>
  <c r="H65" i="38"/>
  <c r="G65" i="38"/>
  <c r="F65" i="38"/>
  <c r="E65" i="38"/>
  <c r="D65" i="38"/>
  <c r="C65" i="38"/>
  <c r="B65" i="38"/>
  <c r="J53" i="38"/>
  <c r="I53" i="38"/>
  <c r="H53" i="38"/>
  <c r="G53" i="38"/>
  <c r="F53" i="38"/>
  <c r="E53" i="38"/>
  <c r="D53" i="38"/>
  <c r="C53" i="38"/>
  <c r="B53" i="38"/>
  <c r="J24" i="38"/>
  <c r="I24" i="38"/>
  <c r="H24" i="38"/>
  <c r="G24" i="38"/>
  <c r="F24" i="38"/>
  <c r="E24" i="38"/>
  <c r="D24" i="38"/>
  <c r="C24" i="38"/>
  <c r="B24" i="38"/>
  <c r="K85" i="39" l="1"/>
  <c r="M51" i="37"/>
  <c r="M44" i="37"/>
  <c r="G60" i="37"/>
  <c r="M27" i="37"/>
  <c r="I41" i="37"/>
  <c r="K42" i="37"/>
  <c r="C56" i="37"/>
  <c r="C85" i="37" s="1"/>
  <c r="G51" i="37"/>
  <c r="D85" i="37"/>
  <c r="J68" i="37"/>
  <c r="J85" i="37" s="1"/>
  <c r="M60" i="37"/>
  <c r="F63" i="37"/>
  <c r="L63" i="37" s="1"/>
  <c r="F65" i="37"/>
  <c r="L65" i="37" s="1"/>
  <c r="M70" i="37"/>
  <c r="M32" i="37"/>
  <c r="E85" i="37"/>
  <c r="K57" i="37"/>
  <c r="K68" i="37" s="1"/>
  <c r="M73" i="37"/>
  <c r="B41" i="37"/>
  <c r="M52" i="37"/>
  <c r="K26" i="37"/>
  <c r="M26" i="37" s="1"/>
  <c r="M31" i="37"/>
  <c r="F48" i="37"/>
  <c r="L48" i="37" s="1"/>
  <c r="F58" i="37"/>
  <c r="L58" i="37" s="1"/>
  <c r="F64" i="37"/>
  <c r="L64" i="37" s="1"/>
  <c r="M67" i="37"/>
  <c r="K83" i="37"/>
  <c r="M83" i="37" s="1"/>
  <c r="H85" i="37"/>
  <c r="F46" i="37"/>
  <c r="L46" i="37" s="1"/>
  <c r="M50" i="37"/>
  <c r="F55" i="37"/>
  <c r="L55" i="37" s="1"/>
  <c r="C68" i="37"/>
  <c r="F68" i="37" s="1"/>
  <c r="F62" i="37"/>
  <c r="L62" i="37" s="1"/>
  <c r="G64" i="37"/>
  <c r="M64" i="37" s="1"/>
  <c r="K84" i="37"/>
  <c r="M84" i="37" s="1"/>
  <c r="M46" i="37"/>
  <c r="M65" i="37"/>
  <c r="G57" i="37"/>
  <c r="B60" i="37"/>
  <c r="K66" i="37"/>
  <c r="M66" i="37" s="1"/>
  <c r="M79" i="37"/>
  <c r="M43" i="37"/>
  <c r="M18" i="37"/>
  <c r="M14" i="37"/>
  <c r="M20" i="37"/>
  <c r="M17" i="37"/>
  <c r="M15" i="37"/>
  <c r="M13" i="37"/>
  <c r="M22" i="37"/>
  <c r="M23" i="37"/>
  <c r="M12" i="37"/>
  <c r="K56" i="37"/>
  <c r="K24" i="37"/>
  <c r="M16" i="37"/>
  <c r="M40" i="37"/>
  <c r="M39" i="37"/>
  <c r="M47" i="37"/>
  <c r="M61" i="37"/>
  <c r="G41" i="37"/>
  <c r="B68" i="37"/>
  <c r="B85" i="37" s="1"/>
  <c r="G11" i="37"/>
  <c r="G24" i="37" s="1"/>
  <c r="D41" i="37"/>
  <c r="M42" i="37"/>
  <c r="G45" i="37"/>
  <c r="M45" i="37" s="1"/>
  <c r="F54" i="37"/>
  <c r="L54" i="37" s="1"/>
  <c r="F61" i="37"/>
  <c r="L61" i="37" s="1"/>
  <c r="G62" i="37"/>
  <c r="G68" i="37" s="1"/>
  <c r="G63" i="37"/>
  <c r="M63" i="37" s="1"/>
  <c r="M69" i="37"/>
  <c r="F30" i="37"/>
  <c r="L30" i="37" s="1"/>
  <c r="F57" i="37"/>
  <c r="L57" i="37" s="1"/>
  <c r="G61" i="37"/>
  <c r="K25" i="37"/>
  <c r="K77" i="37"/>
  <c r="M77" i="37" s="1"/>
  <c r="F16" i="37"/>
  <c r="L16" i="37" s="1"/>
  <c r="F47" i="37"/>
  <c r="L47" i="37" s="1"/>
  <c r="E24" i="37"/>
  <c r="K30" i="37"/>
  <c r="M30" i="37" s="1"/>
  <c r="F66" i="37"/>
  <c r="L66" i="37" s="1"/>
  <c r="K37" i="37"/>
  <c r="M37" i="37" s="1"/>
  <c r="J29" i="34"/>
  <c r="I29" i="34"/>
  <c r="M57" i="37" l="1"/>
  <c r="F56" i="37"/>
  <c r="F85" i="37" s="1"/>
  <c r="M62" i="37"/>
  <c r="K85" i="37"/>
  <c r="F41" i="37"/>
  <c r="M25" i="37"/>
  <c r="M41" i="37" s="1"/>
  <c r="K41" i="37"/>
  <c r="G56" i="37"/>
  <c r="G85" i="37" s="1"/>
  <c r="F24" i="37"/>
  <c r="M68" i="37"/>
  <c r="M11" i="37"/>
  <c r="M24" i="37" s="1"/>
  <c r="H22" i="34"/>
  <c r="J16" i="34"/>
  <c r="E16" i="34"/>
  <c r="D25" i="34" l="1"/>
  <c r="D26" i="34"/>
  <c r="H11" i="34" l="1"/>
  <c r="I12" i="34"/>
  <c r="H12" i="34"/>
  <c r="I12" i="35"/>
  <c r="H12" i="35"/>
  <c r="C11" i="34"/>
  <c r="G11" i="34"/>
  <c r="I11" i="34"/>
  <c r="J23" i="34" l="1"/>
  <c r="J12" i="34"/>
  <c r="I23" i="34"/>
  <c r="K16" i="34"/>
  <c r="J11" i="34"/>
  <c r="F25" i="34"/>
  <c r="L25" i="34" s="1"/>
  <c r="F24" i="34"/>
  <c r="L24" i="34" s="1"/>
  <c r="B21" i="34"/>
  <c r="B23" i="34"/>
  <c r="B24" i="34"/>
  <c r="B25" i="34"/>
  <c r="B26" i="34"/>
  <c r="B22" i="34"/>
  <c r="B20" i="34"/>
  <c r="B19" i="34"/>
  <c r="B18" i="34"/>
  <c r="B17" i="34"/>
  <c r="B16" i="34"/>
  <c r="B15" i="34"/>
  <c r="B14" i="34"/>
  <c r="B13" i="34"/>
  <c r="B11" i="34"/>
  <c r="G26" i="34"/>
  <c r="I76" i="34"/>
  <c r="I70" i="34"/>
  <c r="H70" i="34"/>
  <c r="G70" i="34"/>
  <c r="F70" i="34"/>
  <c r="E70" i="34"/>
  <c r="D70" i="34"/>
  <c r="C70" i="34"/>
  <c r="B70" i="34"/>
  <c r="J69" i="34"/>
  <c r="K69" i="34" s="1"/>
  <c r="M69" i="34" s="1"/>
  <c r="K68" i="34"/>
  <c r="M68" i="34" s="1"/>
  <c r="K67" i="34"/>
  <c r="M67" i="34" s="1"/>
  <c r="K66" i="34"/>
  <c r="K65" i="34"/>
  <c r="M65" i="34" s="1"/>
  <c r="K64" i="34"/>
  <c r="M64" i="34" s="1"/>
  <c r="J63" i="34"/>
  <c r="I63" i="34"/>
  <c r="H63" i="34"/>
  <c r="G63" i="34"/>
  <c r="F63" i="34"/>
  <c r="E63" i="34"/>
  <c r="D63" i="34"/>
  <c r="C63" i="34"/>
  <c r="B63" i="34"/>
  <c r="K62" i="34"/>
  <c r="M62" i="34" s="1"/>
  <c r="K61" i="34"/>
  <c r="M61" i="34" s="1"/>
  <c r="K60" i="34"/>
  <c r="M60" i="34" s="1"/>
  <c r="J59" i="34"/>
  <c r="I59" i="34"/>
  <c r="H59" i="34"/>
  <c r="G59" i="34"/>
  <c r="F59" i="34"/>
  <c r="E59" i="34"/>
  <c r="D59" i="34"/>
  <c r="C59" i="34"/>
  <c r="B59" i="34"/>
  <c r="K58" i="34"/>
  <c r="M58" i="34" s="1"/>
  <c r="K57" i="34"/>
  <c r="M57" i="34" s="1"/>
  <c r="J56" i="34"/>
  <c r="I56" i="34"/>
  <c r="H56" i="34"/>
  <c r="F56" i="34"/>
  <c r="E56" i="34"/>
  <c r="D56" i="34"/>
  <c r="C56" i="34"/>
  <c r="B56" i="34"/>
  <c r="K55" i="34"/>
  <c r="K56" i="34" s="1"/>
  <c r="G55" i="34"/>
  <c r="G56" i="34" s="1"/>
  <c r="E54" i="34"/>
  <c r="D54" i="34"/>
  <c r="J53" i="34"/>
  <c r="K53" i="34" s="1"/>
  <c r="C53" i="34"/>
  <c r="G53" i="34" s="1"/>
  <c r="J52" i="34"/>
  <c r="H52" i="34"/>
  <c r="G52" i="34"/>
  <c r="C52" i="34"/>
  <c r="F52" i="34" s="1"/>
  <c r="L52" i="34" s="1"/>
  <c r="K51" i="34"/>
  <c r="C51" i="34"/>
  <c r="G51" i="34" s="1"/>
  <c r="K50" i="34"/>
  <c r="C50" i="34"/>
  <c r="F50" i="34" s="1"/>
  <c r="L50" i="34" s="1"/>
  <c r="K49" i="34"/>
  <c r="C49" i="34"/>
  <c r="G49" i="34" s="1"/>
  <c r="J48" i="34"/>
  <c r="K48" i="34" s="1"/>
  <c r="C48" i="34"/>
  <c r="F48" i="34" s="1"/>
  <c r="L48" i="34" s="1"/>
  <c r="K47" i="34"/>
  <c r="C47" i="34"/>
  <c r="B47" i="34" s="1"/>
  <c r="K46" i="34"/>
  <c r="C46" i="34"/>
  <c r="G46" i="34" s="1"/>
  <c r="K45" i="34"/>
  <c r="C45" i="34"/>
  <c r="G45" i="34" s="1"/>
  <c r="J44" i="34"/>
  <c r="K44" i="34" s="1"/>
  <c r="C44" i="34"/>
  <c r="G44" i="34" s="1"/>
  <c r="J43" i="34"/>
  <c r="I43" i="34"/>
  <c r="I54" i="34" s="1"/>
  <c r="H43" i="34"/>
  <c r="H54" i="34" s="1"/>
  <c r="C43" i="34"/>
  <c r="B43" i="34" s="1"/>
  <c r="H42" i="34"/>
  <c r="E42" i="34"/>
  <c r="D42" i="34"/>
  <c r="B42" i="34"/>
  <c r="J41" i="34"/>
  <c r="K41" i="34" s="1"/>
  <c r="C41" i="34"/>
  <c r="G41" i="34" s="1"/>
  <c r="J40" i="34"/>
  <c r="K40" i="34" s="1"/>
  <c r="C40" i="34"/>
  <c r="G40" i="34" s="1"/>
  <c r="K39" i="34"/>
  <c r="C39" i="34"/>
  <c r="G39" i="34" s="1"/>
  <c r="J38" i="34"/>
  <c r="I38" i="34"/>
  <c r="K38" i="34" s="1"/>
  <c r="M38" i="34" s="1"/>
  <c r="C38" i="34"/>
  <c r="G38" i="34" s="1"/>
  <c r="J37" i="34"/>
  <c r="I37" i="34"/>
  <c r="C37" i="34"/>
  <c r="G37" i="34" s="1"/>
  <c r="L36" i="34"/>
  <c r="K36" i="34"/>
  <c r="C36" i="34"/>
  <c r="G36" i="34" s="1"/>
  <c r="M36" i="34" s="1"/>
  <c r="L35" i="34"/>
  <c r="K35" i="34"/>
  <c r="C35" i="34"/>
  <c r="G35" i="34" s="1"/>
  <c r="K34" i="34"/>
  <c r="C34" i="34"/>
  <c r="G34" i="34" s="1"/>
  <c r="J33" i="34"/>
  <c r="K33" i="34" s="1"/>
  <c r="C33" i="34"/>
  <c r="G33" i="34" s="1"/>
  <c r="K32" i="34"/>
  <c r="C32" i="34"/>
  <c r="G32" i="34" s="1"/>
  <c r="K31" i="34"/>
  <c r="C31" i="34"/>
  <c r="G31" i="34" s="1"/>
  <c r="K30" i="34"/>
  <c r="C30" i="34"/>
  <c r="G30" i="34" s="1"/>
  <c r="K29" i="34"/>
  <c r="G29" i="34"/>
  <c r="J28" i="34"/>
  <c r="I28" i="34"/>
  <c r="K28" i="34" s="1"/>
  <c r="C28" i="34"/>
  <c r="J26" i="34"/>
  <c r="I26" i="34"/>
  <c r="F26" i="34"/>
  <c r="L26" i="34" s="1"/>
  <c r="K25" i="34"/>
  <c r="K24" i="34"/>
  <c r="G24" i="34"/>
  <c r="G23" i="34"/>
  <c r="F23" i="34"/>
  <c r="L23" i="34" s="1"/>
  <c r="K22" i="34"/>
  <c r="G22" i="34"/>
  <c r="F22" i="34"/>
  <c r="L22" i="34" s="1"/>
  <c r="L21" i="34"/>
  <c r="K21" i="34"/>
  <c r="G21" i="34"/>
  <c r="L20" i="34"/>
  <c r="K20" i="34"/>
  <c r="G20" i="34"/>
  <c r="L19" i="34"/>
  <c r="K19" i="34"/>
  <c r="M19" i="34" s="1"/>
  <c r="G19" i="34"/>
  <c r="L18" i="34"/>
  <c r="K18" i="34"/>
  <c r="G18" i="34"/>
  <c r="K17" i="34"/>
  <c r="G17" i="34"/>
  <c r="F17" i="34"/>
  <c r="L17" i="34" s="1"/>
  <c r="G16" i="34"/>
  <c r="F16" i="34"/>
  <c r="L16" i="34" s="1"/>
  <c r="K15" i="34"/>
  <c r="G15" i="34"/>
  <c r="F15" i="34"/>
  <c r="L15" i="34" s="1"/>
  <c r="K14" i="34"/>
  <c r="G14" i="34"/>
  <c r="F14" i="34"/>
  <c r="L14" i="34" s="1"/>
  <c r="K13" i="34"/>
  <c r="G13" i="34"/>
  <c r="F13" i="34"/>
  <c r="L13" i="34" s="1"/>
  <c r="G12" i="34"/>
  <c r="F12" i="34"/>
  <c r="L12" i="34" s="1"/>
  <c r="C27" i="34"/>
  <c r="F41" i="34" l="1"/>
  <c r="L41" i="34" s="1"/>
  <c r="G50" i="34"/>
  <c r="M50" i="34" s="1"/>
  <c r="D71" i="34"/>
  <c r="F51" i="34"/>
  <c r="L51" i="34" s="1"/>
  <c r="M53" i="34"/>
  <c r="M13" i="34"/>
  <c r="B49" i="34"/>
  <c r="K59" i="34"/>
  <c r="M59" i="34" s="1"/>
  <c r="M40" i="34"/>
  <c r="E71" i="34"/>
  <c r="G48" i="34"/>
  <c r="B51" i="34"/>
  <c r="K52" i="34"/>
  <c r="M52" i="34" s="1"/>
  <c r="C42" i="34"/>
  <c r="B46" i="34"/>
  <c r="J42" i="34"/>
  <c r="F32" i="34"/>
  <c r="L32" i="34" s="1"/>
  <c r="J70" i="34"/>
  <c r="K23" i="34"/>
  <c r="M44" i="34"/>
  <c r="M35" i="34"/>
  <c r="K37" i="34"/>
  <c r="M37" i="34" s="1"/>
  <c r="B53" i="34"/>
  <c r="K70" i="34"/>
  <c r="M70" i="34" s="1"/>
  <c r="M29" i="34"/>
  <c r="F31" i="34"/>
  <c r="L31" i="34" s="1"/>
  <c r="F33" i="34"/>
  <c r="L33" i="34" s="1"/>
  <c r="H71" i="34"/>
  <c r="F49" i="34"/>
  <c r="L49" i="34" s="1"/>
  <c r="I27" i="34"/>
  <c r="K26" i="34"/>
  <c r="M26" i="34" s="1"/>
  <c r="F29" i="34"/>
  <c r="L29" i="34" s="1"/>
  <c r="B45" i="34"/>
  <c r="B48" i="34"/>
  <c r="M51" i="34"/>
  <c r="F53" i="34"/>
  <c r="L53" i="34" s="1"/>
  <c r="M33" i="34"/>
  <c r="M49" i="34"/>
  <c r="M31" i="34"/>
  <c r="C54" i="34"/>
  <c r="F54" i="34" s="1"/>
  <c r="K43" i="34"/>
  <c r="M41" i="34"/>
  <c r="M24" i="34"/>
  <c r="I42" i="34"/>
  <c r="I71" i="34" s="1"/>
  <c r="M30" i="34"/>
  <c r="M34" i="34"/>
  <c r="M39" i="34"/>
  <c r="J54" i="34"/>
  <c r="M46" i="34"/>
  <c r="M48" i="34"/>
  <c r="K12" i="34"/>
  <c r="M12" i="34" s="1"/>
  <c r="H27" i="34"/>
  <c r="J27" i="34"/>
  <c r="M14" i="34"/>
  <c r="G25" i="34"/>
  <c r="M25" i="34" s="1"/>
  <c r="E27" i="34"/>
  <c r="M20" i="34"/>
  <c r="D27" i="34"/>
  <c r="B27" i="34"/>
  <c r="M23" i="34"/>
  <c r="M22" i="34"/>
  <c r="M21" i="34"/>
  <c r="M18" i="34"/>
  <c r="M17" i="34"/>
  <c r="M16" i="34"/>
  <c r="M15" i="34"/>
  <c r="F11" i="34"/>
  <c r="M45" i="34"/>
  <c r="M32" i="34"/>
  <c r="M56" i="34"/>
  <c r="F40" i="34"/>
  <c r="L40" i="34" s="1"/>
  <c r="F47" i="34"/>
  <c r="L47" i="34" s="1"/>
  <c r="M55" i="34"/>
  <c r="F28" i="34"/>
  <c r="F30" i="34"/>
  <c r="L30" i="34" s="1"/>
  <c r="F43" i="34"/>
  <c r="L43" i="34" s="1"/>
  <c r="F46" i="34"/>
  <c r="L46" i="34" s="1"/>
  <c r="G47" i="34"/>
  <c r="M47" i="34" s="1"/>
  <c r="M66" i="34"/>
  <c r="G28" i="34"/>
  <c r="F34" i="34"/>
  <c r="L34" i="34" s="1"/>
  <c r="F37" i="34"/>
  <c r="L37" i="34" s="1"/>
  <c r="F38" i="34"/>
  <c r="L38" i="34" s="1"/>
  <c r="F39" i="34"/>
  <c r="L39" i="34" s="1"/>
  <c r="G43" i="34"/>
  <c r="F44" i="34"/>
  <c r="L44" i="34" s="1"/>
  <c r="F45" i="34"/>
  <c r="L45" i="34" s="1"/>
  <c r="B52" i="34"/>
  <c r="K63" i="34"/>
  <c r="M63" i="34" s="1"/>
  <c r="B50" i="34"/>
  <c r="K11" i="34"/>
  <c r="J23" i="35"/>
  <c r="I23" i="35"/>
  <c r="I21" i="35"/>
  <c r="J16" i="35"/>
  <c r="K16" i="35" s="1"/>
  <c r="I16" i="35"/>
  <c r="J12" i="35"/>
  <c r="C11" i="35"/>
  <c r="F11" i="35" s="1"/>
  <c r="L11" i="35" s="1"/>
  <c r="J11" i="35"/>
  <c r="I11" i="35"/>
  <c r="H11" i="35"/>
  <c r="H27" i="35"/>
  <c r="I76" i="35"/>
  <c r="I70" i="35"/>
  <c r="H70" i="35"/>
  <c r="G70" i="35"/>
  <c r="F70" i="35"/>
  <c r="E70" i="35"/>
  <c r="D70" i="35"/>
  <c r="C70" i="35"/>
  <c r="B70" i="35"/>
  <c r="J69" i="35"/>
  <c r="K69" i="35" s="1"/>
  <c r="M69" i="35" s="1"/>
  <c r="K68" i="35"/>
  <c r="M68" i="35" s="1"/>
  <c r="K67" i="35"/>
  <c r="M67" i="35" s="1"/>
  <c r="K66" i="35"/>
  <c r="M66" i="35" s="1"/>
  <c r="K65" i="35"/>
  <c r="M65" i="35" s="1"/>
  <c r="K64" i="35"/>
  <c r="M64" i="35" s="1"/>
  <c r="J63" i="35"/>
  <c r="I63" i="35"/>
  <c r="H63" i="35"/>
  <c r="G63" i="35"/>
  <c r="F63" i="35"/>
  <c r="E63" i="35"/>
  <c r="D63" i="35"/>
  <c r="C63" i="35"/>
  <c r="B63" i="35"/>
  <c r="K62" i="35"/>
  <c r="M62" i="35" s="1"/>
  <c r="K61" i="35"/>
  <c r="M61" i="35" s="1"/>
  <c r="K60" i="35"/>
  <c r="M60" i="35" s="1"/>
  <c r="J59" i="35"/>
  <c r="I59" i="35"/>
  <c r="H59" i="35"/>
  <c r="G59" i="35"/>
  <c r="F59" i="35"/>
  <c r="E59" i="35"/>
  <c r="D59" i="35"/>
  <c r="C59" i="35"/>
  <c r="B59" i="35"/>
  <c r="K58" i="35"/>
  <c r="M58" i="35" s="1"/>
  <c r="K57" i="35"/>
  <c r="M57" i="35" s="1"/>
  <c r="J56" i="35"/>
  <c r="I56" i="35"/>
  <c r="H56" i="35"/>
  <c r="F56" i="35"/>
  <c r="E56" i="35"/>
  <c r="D56" i="35"/>
  <c r="C56" i="35"/>
  <c r="B56" i="35"/>
  <c r="K55" i="35"/>
  <c r="M55" i="35" s="1"/>
  <c r="G55" i="35"/>
  <c r="G56" i="35" s="1"/>
  <c r="E54" i="35"/>
  <c r="D54" i="35"/>
  <c r="J53" i="35"/>
  <c r="K53" i="35" s="1"/>
  <c r="G53" i="35"/>
  <c r="C53" i="35"/>
  <c r="F53" i="35" s="1"/>
  <c r="L53" i="35" s="1"/>
  <c r="B53" i="35"/>
  <c r="J52" i="35"/>
  <c r="H52" i="35"/>
  <c r="C52" i="35"/>
  <c r="G52" i="35" s="1"/>
  <c r="B52" i="35"/>
  <c r="L51" i="35"/>
  <c r="K51" i="35"/>
  <c r="G51" i="35"/>
  <c r="F51" i="35"/>
  <c r="C51" i="35"/>
  <c r="B51" i="35"/>
  <c r="K50" i="35"/>
  <c r="G50" i="35"/>
  <c r="C50" i="35"/>
  <c r="B50" i="35" s="1"/>
  <c r="K49" i="35"/>
  <c r="C49" i="35"/>
  <c r="B49" i="35" s="1"/>
  <c r="J48" i="35"/>
  <c r="K48" i="35" s="1"/>
  <c r="G48" i="35"/>
  <c r="C48" i="35"/>
  <c r="B48" i="35" s="1"/>
  <c r="K47" i="35"/>
  <c r="C47" i="35"/>
  <c r="B47" i="35" s="1"/>
  <c r="K46" i="35"/>
  <c r="C46" i="35"/>
  <c r="F46" i="35" s="1"/>
  <c r="L46" i="35" s="1"/>
  <c r="B46" i="35"/>
  <c r="K45" i="35"/>
  <c r="C45" i="35"/>
  <c r="G45" i="35" s="1"/>
  <c r="B45" i="35"/>
  <c r="J44" i="35"/>
  <c r="K44" i="35" s="1"/>
  <c r="C44" i="35"/>
  <c r="G44" i="35" s="1"/>
  <c r="J43" i="35"/>
  <c r="I43" i="35"/>
  <c r="I54" i="35" s="1"/>
  <c r="H43" i="35"/>
  <c r="H54" i="35" s="1"/>
  <c r="C43" i="35"/>
  <c r="B43" i="35"/>
  <c r="H42" i="35"/>
  <c r="E42" i="35"/>
  <c r="E71" i="35" s="1"/>
  <c r="D42" i="35"/>
  <c r="B42" i="35"/>
  <c r="J41" i="35"/>
  <c r="K41" i="35" s="1"/>
  <c r="G41" i="35"/>
  <c r="C41" i="35"/>
  <c r="F41" i="35" s="1"/>
  <c r="L41" i="35" s="1"/>
  <c r="J40" i="35"/>
  <c r="K40" i="35" s="1"/>
  <c r="C40" i="35"/>
  <c r="F40" i="35" s="1"/>
  <c r="L40" i="35" s="1"/>
  <c r="K39" i="35"/>
  <c r="C39" i="35"/>
  <c r="G39" i="35" s="1"/>
  <c r="M39" i="35" s="1"/>
  <c r="J38" i="35"/>
  <c r="K38" i="35" s="1"/>
  <c r="I38" i="35"/>
  <c r="C38" i="35"/>
  <c r="G38" i="35" s="1"/>
  <c r="K37" i="35"/>
  <c r="J37" i="35"/>
  <c r="I37" i="35"/>
  <c r="C37" i="35"/>
  <c r="G37" i="35" s="1"/>
  <c r="L36" i="35"/>
  <c r="K36" i="35"/>
  <c r="C36" i="35"/>
  <c r="G36" i="35" s="1"/>
  <c r="L35" i="35"/>
  <c r="K35" i="35"/>
  <c r="C35" i="35"/>
  <c r="G35" i="35" s="1"/>
  <c r="K34" i="35"/>
  <c r="C34" i="35"/>
  <c r="G34" i="35" s="1"/>
  <c r="M34" i="35" s="1"/>
  <c r="J33" i="35"/>
  <c r="K33" i="35" s="1"/>
  <c r="C33" i="35"/>
  <c r="G33" i="35" s="1"/>
  <c r="K32" i="35"/>
  <c r="G32" i="35"/>
  <c r="C32" i="35"/>
  <c r="F32" i="35" s="1"/>
  <c r="L32" i="35" s="1"/>
  <c r="K31" i="35"/>
  <c r="C31" i="35"/>
  <c r="F31" i="35" s="1"/>
  <c r="L31" i="35" s="1"/>
  <c r="K30" i="35"/>
  <c r="C30" i="35"/>
  <c r="G30" i="35" s="1"/>
  <c r="J29" i="35"/>
  <c r="I29" i="35"/>
  <c r="C29" i="35"/>
  <c r="F29" i="35" s="1"/>
  <c r="L29" i="35" s="1"/>
  <c r="J28" i="35"/>
  <c r="I28" i="35"/>
  <c r="K28" i="35" s="1"/>
  <c r="C28" i="35"/>
  <c r="C42" i="35" s="1"/>
  <c r="E27" i="35"/>
  <c r="D27" i="35"/>
  <c r="J26" i="35"/>
  <c r="I26" i="35"/>
  <c r="G26" i="35"/>
  <c r="F26" i="35"/>
  <c r="L26" i="35" s="1"/>
  <c r="B26" i="35"/>
  <c r="K25" i="35"/>
  <c r="G25" i="35"/>
  <c r="F25" i="35"/>
  <c r="L25" i="35" s="1"/>
  <c r="M24" i="35"/>
  <c r="K24" i="35"/>
  <c r="G24" i="35"/>
  <c r="F24" i="35"/>
  <c r="L24" i="35" s="1"/>
  <c r="G23" i="35"/>
  <c r="F23" i="35"/>
  <c r="L23" i="35" s="1"/>
  <c r="K22" i="35"/>
  <c r="G22" i="35"/>
  <c r="F22" i="35"/>
  <c r="L22" i="35" s="1"/>
  <c r="L21" i="35"/>
  <c r="K21" i="35"/>
  <c r="G21" i="35"/>
  <c r="L20" i="35"/>
  <c r="K20" i="35"/>
  <c r="G20" i="35"/>
  <c r="L19" i="35"/>
  <c r="K19" i="35"/>
  <c r="M19" i="35" s="1"/>
  <c r="G19" i="35"/>
  <c r="L18" i="35"/>
  <c r="K18" i="35"/>
  <c r="G18" i="35"/>
  <c r="K17" i="35"/>
  <c r="G17" i="35"/>
  <c r="F17" i="35"/>
  <c r="L17" i="35" s="1"/>
  <c r="G16" i="35"/>
  <c r="F16" i="35"/>
  <c r="L16" i="35" s="1"/>
  <c r="K15" i="35"/>
  <c r="G15" i="35"/>
  <c r="F15" i="35"/>
  <c r="L15" i="35" s="1"/>
  <c r="K14" i="35"/>
  <c r="G14" i="35"/>
  <c r="F14" i="35"/>
  <c r="K13" i="35"/>
  <c r="G13" i="35"/>
  <c r="F13" i="35"/>
  <c r="L13" i="35" s="1"/>
  <c r="K12" i="35"/>
  <c r="G12" i="35"/>
  <c r="F12" i="35"/>
  <c r="L12" i="35" s="1"/>
  <c r="J26" i="36"/>
  <c r="I26" i="36"/>
  <c r="C71" i="34" l="1"/>
  <c r="J71" i="34"/>
  <c r="K54" i="34"/>
  <c r="M43" i="34"/>
  <c r="K42" i="34"/>
  <c r="M32" i="35"/>
  <c r="M30" i="35"/>
  <c r="M33" i="35"/>
  <c r="M36" i="35"/>
  <c r="C54" i="35"/>
  <c r="F54" i="35" s="1"/>
  <c r="M45" i="35"/>
  <c r="F48" i="35"/>
  <c r="L48" i="35" s="1"/>
  <c r="F50" i="35"/>
  <c r="L50" i="35" s="1"/>
  <c r="M51" i="35"/>
  <c r="M50" i="35"/>
  <c r="M41" i="35"/>
  <c r="G31" i="35"/>
  <c r="J54" i="35"/>
  <c r="C71" i="35"/>
  <c r="M15" i="35"/>
  <c r="M48" i="35"/>
  <c r="B11" i="35"/>
  <c r="B27" i="35" s="1"/>
  <c r="J42" i="35"/>
  <c r="J71" i="35" s="1"/>
  <c r="M37" i="35"/>
  <c r="J70" i="35"/>
  <c r="C27" i="35"/>
  <c r="M16" i="35"/>
  <c r="M31" i="35"/>
  <c r="D71" i="35"/>
  <c r="K43" i="35"/>
  <c r="K54" i="35" s="1"/>
  <c r="F49" i="35"/>
  <c r="L49" i="35" s="1"/>
  <c r="M53" i="35"/>
  <c r="M13" i="35"/>
  <c r="K26" i="35"/>
  <c r="K29" i="35"/>
  <c r="K42" i="35" s="1"/>
  <c r="G49" i="35"/>
  <c r="M49" i="35" s="1"/>
  <c r="K52" i="35"/>
  <c r="M52" i="35" s="1"/>
  <c r="H71" i="35"/>
  <c r="K59" i="35"/>
  <c r="M59" i="35" s="1"/>
  <c r="M38" i="35"/>
  <c r="B54" i="34"/>
  <c r="B71" i="34" s="1"/>
  <c r="G27" i="34"/>
  <c r="F27" i="34"/>
  <c r="L11" i="34"/>
  <c r="L28" i="34"/>
  <c r="F42" i="34"/>
  <c r="F71" i="34" s="1"/>
  <c r="M28" i="34"/>
  <c r="G42" i="34"/>
  <c r="K27" i="34"/>
  <c r="M11" i="34"/>
  <c r="M27" i="34" s="1"/>
  <c r="G54" i="34"/>
  <c r="M54" i="34" s="1"/>
  <c r="K23" i="35"/>
  <c r="M23" i="35" s="1"/>
  <c r="I27" i="35"/>
  <c r="J27" i="35"/>
  <c r="M22" i="35"/>
  <c r="M26" i="35"/>
  <c r="M25" i="35"/>
  <c r="M21" i="35"/>
  <c r="M14" i="35"/>
  <c r="M12" i="35"/>
  <c r="M20" i="35"/>
  <c r="M18" i="35"/>
  <c r="M17" i="35"/>
  <c r="F27" i="35"/>
  <c r="B54" i="35"/>
  <c r="M35" i="35"/>
  <c r="M44" i="35"/>
  <c r="B71" i="35"/>
  <c r="F30" i="35"/>
  <c r="L30" i="35" s="1"/>
  <c r="G47" i="35"/>
  <c r="M47" i="35" s="1"/>
  <c r="G28" i="35"/>
  <c r="M28" i="35" s="1"/>
  <c r="G29" i="35"/>
  <c r="M29" i="35" s="1"/>
  <c r="F34" i="35"/>
  <c r="L34" i="35" s="1"/>
  <c r="F37" i="35"/>
  <c r="L37" i="35" s="1"/>
  <c r="F38" i="35"/>
  <c r="L38" i="35" s="1"/>
  <c r="F39" i="35"/>
  <c r="L39" i="35" s="1"/>
  <c r="G43" i="35"/>
  <c r="F44" i="35"/>
  <c r="L44" i="35" s="1"/>
  <c r="F45" i="35"/>
  <c r="L45" i="35" s="1"/>
  <c r="G46" i="35"/>
  <c r="M46" i="35" s="1"/>
  <c r="K56" i="35"/>
  <c r="M56" i="35" s="1"/>
  <c r="K63" i="35"/>
  <c r="M63" i="35" s="1"/>
  <c r="K70" i="35"/>
  <c r="M70" i="35" s="1"/>
  <c r="K11" i="35"/>
  <c r="L14" i="35"/>
  <c r="F33" i="35"/>
  <c r="L33" i="35" s="1"/>
  <c r="F47" i="35"/>
  <c r="L47" i="35" s="1"/>
  <c r="F43" i="35"/>
  <c r="L43" i="35" s="1"/>
  <c r="G11" i="35"/>
  <c r="G27" i="35" s="1"/>
  <c r="I42" i="35"/>
  <c r="I71" i="35" s="1"/>
  <c r="F52" i="35"/>
  <c r="L52" i="35" s="1"/>
  <c r="F28" i="35"/>
  <c r="G40" i="35"/>
  <c r="M40" i="35" s="1"/>
  <c r="B26" i="36"/>
  <c r="G26" i="36"/>
  <c r="J11" i="36"/>
  <c r="C11" i="36"/>
  <c r="J12" i="36"/>
  <c r="I12" i="36"/>
  <c r="J23" i="36"/>
  <c r="J16" i="36"/>
  <c r="I23" i="36"/>
  <c r="I16" i="36"/>
  <c r="H22" i="36"/>
  <c r="H12" i="36"/>
  <c r="B11" i="36"/>
  <c r="K71" i="34" l="1"/>
  <c r="G71" i="34"/>
  <c r="K71" i="35"/>
  <c r="G42" i="35"/>
  <c r="M43" i="35"/>
  <c r="G54" i="35"/>
  <c r="M54" i="35" s="1"/>
  <c r="L28" i="35"/>
  <c r="F42" i="35"/>
  <c r="F71" i="35" s="1"/>
  <c r="K27" i="35"/>
  <c r="M11" i="35"/>
  <c r="M27" i="35" s="1"/>
  <c r="G11" i="36"/>
  <c r="I11" i="36"/>
  <c r="H11" i="36"/>
  <c r="G71" i="35" l="1"/>
  <c r="I76" i="36" l="1"/>
  <c r="E71" i="36"/>
  <c r="I70" i="36"/>
  <c r="H70" i="36"/>
  <c r="G70" i="36"/>
  <c r="F70" i="36"/>
  <c r="E70" i="36"/>
  <c r="D70" i="36"/>
  <c r="C70" i="36"/>
  <c r="B70" i="36"/>
  <c r="K69" i="36"/>
  <c r="O69" i="36" s="1"/>
  <c r="J69" i="36"/>
  <c r="J70" i="36" s="1"/>
  <c r="O68" i="36"/>
  <c r="K68" i="36"/>
  <c r="O67" i="36"/>
  <c r="K67" i="36"/>
  <c r="O66" i="36"/>
  <c r="K66" i="36"/>
  <c r="O65" i="36"/>
  <c r="K65" i="36"/>
  <c r="K70" i="36" s="1"/>
  <c r="O70" i="36" s="1"/>
  <c r="O64" i="36"/>
  <c r="K64" i="36"/>
  <c r="J63" i="36"/>
  <c r="I63" i="36"/>
  <c r="H63" i="36"/>
  <c r="G63" i="36"/>
  <c r="F63" i="36"/>
  <c r="E63" i="36"/>
  <c r="D63" i="36"/>
  <c r="C63" i="36"/>
  <c r="B63" i="36"/>
  <c r="K62" i="36"/>
  <c r="O62" i="36" s="1"/>
  <c r="K61" i="36"/>
  <c r="O61" i="36" s="1"/>
  <c r="K60" i="36"/>
  <c r="O60" i="36" s="1"/>
  <c r="J59" i="36"/>
  <c r="I59" i="36"/>
  <c r="H59" i="36"/>
  <c r="G59" i="36"/>
  <c r="F59" i="36"/>
  <c r="E59" i="36"/>
  <c r="D59" i="36"/>
  <c r="C59" i="36"/>
  <c r="B59" i="36"/>
  <c r="O58" i="36"/>
  <c r="K58" i="36"/>
  <c r="K59" i="36" s="1"/>
  <c r="O59" i="36" s="1"/>
  <c r="O57" i="36"/>
  <c r="K57" i="36"/>
  <c r="J56" i="36"/>
  <c r="I56" i="36"/>
  <c r="H56" i="36"/>
  <c r="F56" i="36"/>
  <c r="E56" i="36"/>
  <c r="D56" i="36"/>
  <c r="C56" i="36"/>
  <c r="B56" i="36"/>
  <c r="K55" i="36"/>
  <c r="K56" i="36" s="1"/>
  <c r="G55" i="36"/>
  <c r="G56" i="36" s="1"/>
  <c r="I54" i="36"/>
  <c r="E54" i="36"/>
  <c r="D54" i="36"/>
  <c r="J53" i="36"/>
  <c r="K53" i="36" s="1"/>
  <c r="O53" i="36" s="1"/>
  <c r="G53" i="36"/>
  <c r="F53" i="36"/>
  <c r="L53" i="36" s="1"/>
  <c r="C53" i="36"/>
  <c r="B53" i="36"/>
  <c r="J52" i="36"/>
  <c r="H52" i="36"/>
  <c r="K52" i="36" s="1"/>
  <c r="C52" i="36"/>
  <c r="G52" i="36" s="1"/>
  <c r="K51" i="36"/>
  <c r="O51" i="36" s="1"/>
  <c r="G51" i="36"/>
  <c r="F51" i="36"/>
  <c r="L51" i="36" s="1"/>
  <c r="C51" i="36"/>
  <c r="B51" i="36"/>
  <c r="K50" i="36"/>
  <c r="G50" i="36"/>
  <c r="O50" i="36" s="1"/>
  <c r="C50" i="36"/>
  <c r="F50" i="36" s="1"/>
  <c r="L50" i="36" s="1"/>
  <c r="K49" i="36"/>
  <c r="F49" i="36"/>
  <c r="L49" i="36" s="1"/>
  <c r="C49" i="36"/>
  <c r="G49" i="36" s="1"/>
  <c r="O49" i="36" s="1"/>
  <c r="B49" i="36"/>
  <c r="J48" i="36"/>
  <c r="K48" i="36" s="1"/>
  <c r="O48" i="36" s="1"/>
  <c r="F48" i="36"/>
  <c r="L48" i="36" s="1"/>
  <c r="C48" i="36"/>
  <c r="G48" i="36" s="1"/>
  <c r="B48" i="36"/>
  <c r="K47" i="36"/>
  <c r="C47" i="36"/>
  <c r="B47" i="36" s="1"/>
  <c r="K46" i="36"/>
  <c r="O46" i="36" s="1"/>
  <c r="G46" i="36"/>
  <c r="F46" i="36"/>
  <c r="L46" i="36" s="1"/>
  <c r="C46" i="36"/>
  <c r="B46" i="36"/>
  <c r="K45" i="36"/>
  <c r="G45" i="36"/>
  <c r="O45" i="36" s="1"/>
  <c r="C45" i="36"/>
  <c r="F45" i="36" s="1"/>
  <c r="L45" i="36" s="1"/>
  <c r="K44" i="36"/>
  <c r="J44" i="36"/>
  <c r="C44" i="36"/>
  <c r="G44" i="36" s="1"/>
  <c r="O44" i="36" s="1"/>
  <c r="L43" i="36"/>
  <c r="J43" i="36"/>
  <c r="J54" i="36" s="1"/>
  <c r="I43" i="36"/>
  <c r="H43" i="36"/>
  <c r="K43" i="36" s="1"/>
  <c r="G43" i="36"/>
  <c r="F43" i="36"/>
  <c r="C43" i="36"/>
  <c r="C54" i="36" s="1"/>
  <c r="F54" i="36" s="1"/>
  <c r="B43" i="36"/>
  <c r="H42" i="36"/>
  <c r="E42" i="36"/>
  <c r="D42" i="36"/>
  <c r="D71" i="36" s="1"/>
  <c r="B42" i="36"/>
  <c r="J41" i="36"/>
  <c r="K41" i="36" s="1"/>
  <c r="O41" i="36" s="1"/>
  <c r="F41" i="36"/>
  <c r="L41" i="36" s="1"/>
  <c r="C41" i="36"/>
  <c r="G41" i="36" s="1"/>
  <c r="K40" i="36"/>
  <c r="O40" i="36" s="1"/>
  <c r="J40" i="36"/>
  <c r="C40" i="36"/>
  <c r="G40" i="36" s="1"/>
  <c r="K39" i="36"/>
  <c r="C39" i="36"/>
  <c r="G39" i="36" s="1"/>
  <c r="O39" i="36" s="1"/>
  <c r="J38" i="36"/>
  <c r="K38" i="36" s="1"/>
  <c r="O38" i="36" s="1"/>
  <c r="I38" i="36"/>
  <c r="C38" i="36"/>
  <c r="G38" i="36" s="1"/>
  <c r="J37" i="36"/>
  <c r="K37" i="36" s="1"/>
  <c r="O37" i="36" s="1"/>
  <c r="I37" i="36"/>
  <c r="C37" i="36"/>
  <c r="G37" i="36" s="1"/>
  <c r="L36" i="36"/>
  <c r="K36" i="36"/>
  <c r="O36" i="36" s="1"/>
  <c r="G36" i="36"/>
  <c r="C36" i="36"/>
  <c r="L35" i="36"/>
  <c r="K35" i="36"/>
  <c r="C35" i="36"/>
  <c r="G35" i="36" s="1"/>
  <c r="K34" i="36"/>
  <c r="C34" i="36"/>
  <c r="G34" i="36" s="1"/>
  <c r="O34" i="36" s="1"/>
  <c r="L33" i="36"/>
  <c r="K33" i="36"/>
  <c r="J33" i="36"/>
  <c r="J42" i="36" s="1"/>
  <c r="F33" i="36"/>
  <c r="C33" i="36"/>
  <c r="G33" i="36" s="1"/>
  <c r="K32" i="36"/>
  <c r="O32" i="36" s="1"/>
  <c r="G32" i="36"/>
  <c r="F32" i="36"/>
  <c r="L32" i="36" s="1"/>
  <c r="C32" i="36"/>
  <c r="K31" i="36"/>
  <c r="F31" i="36"/>
  <c r="L31" i="36" s="1"/>
  <c r="C31" i="36"/>
  <c r="C42" i="36" s="1"/>
  <c r="C71" i="36" s="1"/>
  <c r="O30" i="36"/>
  <c r="K30" i="36"/>
  <c r="G30" i="36"/>
  <c r="F30" i="36"/>
  <c r="L30" i="36" s="1"/>
  <c r="C30" i="36"/>
  <c r="O29" i="36"/>
  <c r="K29" i="36"/>
  <c r="J29" i="36"/>
  <c r="I29" i="36"/>
  <c r="G29" i="36"/>
  <c r="F29" i="36"/>
  <c r="L29" i="36" s="1"/>
  <c r="C29" i="36"/>
  <c r="O28" i="36"/>
  <c r="K28" i="36"/>
  <c r="J28" i="36"/>
  <c r="I28" i="36"/>
  <c r="I42" i="36" s="1"/>
  <c r="I71" i="36" s="1"/>
  <c r="G28" i="36"/>
  <c r="F28" i="36"/>
  <c r="L28" i="36" s="1"/>
  <c r="C28" i="36"/>
  <c r="I27" i="36"/>
  <c r="E27" i="36"/>
  <c r="D27" i="36"/>
  <c r="C27" i="36"/>
  <c r="B27" i="36"/>
  <c r="K26" i="36"/>
  <c r="F26" i="36"/>
  <c r="L26" i="36" s="1"/>
  <c r="L25" i="36"/>
  <c r="K25" i="36"/>
  <c r="G25" i="36"/>
  <c r="F25" i="36"/>
  <c r="K24" i="36"/>
  <c r="G24" i="36"/>
  <c r="F24" i="36"/>
  <c r="L24" i="36" s="1"/>
  <c r="K23" i="36"/>
  <c r="G23" i="36"/>
  <c r="F23" i="36"/>
  <c r="L23" i="36" s="1"/>
  <c r="K22" i="36"/>
  <c r="G22" i="36"/>
  <c r="F22" i="36"/>
  <c r="L22" i="36" s="1"/>
  <c r="L21" i="36"/>
  <c r="K21" i="36"/>
  <c r="G21" i="36"/>
  <c r="L20" i="36"/>
  <c r="K20" i="36"/>
  <c r="G20" i="36"/>
  <c r="L19" i="36"/>
  <c r="K19" i="36"/>
  <c r="G19" i="36"/>
  <c r="O19" i="36" s="1"/>
  <c r="L18" i="36"/>
  <c r="K18" i="36"/>
  <c r="O18" i="36" s="1"/>
  <c r="G18" i="36"/>
  <c r="K17" i="36"/>
  <c r="G17" i="36"/>
  <c r="F17" i="36"/>
  <c r="L17" i="36" s="1"/>
  <c r="K16" i="36"/>
  <c r="G16" i="36"/>
  <c r="F16" i="36"/>
  <c r="L16" i="36" s="1"/>
  <c r="K15" i="36"/>
  <c r="G15" i="36"/>
  <c r="F15" i="36"/>
  <c r="L15" i="36" s="1"/>
  <c r="K14" i="36"/>
  <c r="G14" i="36"/>
  <c r="F14" i="36"/>
  <c r="L14" i="36" s="1"/>
  <c r="K13" i="36"/>
  <c r="G13" i="36"/>
  <c r="O13" i="36" s="1"/>
  <c r="F13" i="36"/>
  <c r="L13" i="36" s="1"/>
  <c r="K12" i="36"/>
  <c r="G12" i="36"/>
  <c r="F12" i="36"/>
  <c r="L12" i="36" s="1"/>
  <c r="J27" i="36"/>
  <c r="H27" i="36"/>
  <c r="F11" i="36"/>
  <c r="O24" i="36" l="1"/>
  <c r="O22" i="36"/>
  <c r="O25" i="36"/>
  <c r="O16" i="36"/>
  <c r="O26" i="36"/>
  <c r="O21" i="36"/>
  <c r="O20" i="36"/>
  <c r="O17" i="36"/>
  <c r="O15" i="36"/>
  <c r="O23" i="36"/>
  <c r="F27" i="36"/>
  <c r="O12" i="36"/>
  <c r="L11" i="36"/>
  <c r="G27" i="36"/>
  <c r="G42" i="36"/>
  <c r="O56" i="36"/>
  <c r="J71" i="36"/>
  <c r="K42" i="36"/>
  <c r="O33" i="36"/>
  <c r="K54" i="36"/>
  <c r="O43" i="36"/>
  <c r="O35" i="36"/>
  <c r="O52" i="36"/>
  <c r="G31" i="36"/>
  <c r="O31" i="36" s="1"/>
  <c r="F40" i="36"/>
  <c r="L40" i="36" s="1"/>
  <c r="B45" i="36"/>
  <c r="F47" i="36"/>
  <c r="L47" i="36" s="1"/>
  <c r="O55" i="36"/>
  <c r="G47" i="36"/>
  <c r="O47" i="36" s="1"/>
  <c r="H54" i="36"/>
  <c r="H71" i="36" s="1"/>
  <c r="O14" i="36"/>
  <c r="F34" i="36"/>
  <c r="L34" i="36" s="1"/>
  <c r="F37" i="36"/>
  <c r="L37" i="36" s="1"/>
  <c r="F38" i="36"/>
  <c r="L38" i="36" s="1"/>
  <c r="F39" i="36"/>
  <c r="L39" i="36" s="1"/>
  <c r="F44" i="36"/>
  <c r="L44" i="36" s="1"/>
  <c r="B52" i="36"/>
  <c r="K63" i="36"/>
  <c r="O63" i="36" s="1"/>
  <c r="B50" i="36"/>
  <c r="B54" i="36" s="1"/>
  <c r="B71" i="36" s="1"/>
  <c r="F52" i="36"/>
  <c r="L52" i="36" s="1"/>
  <c r="K11" i="36"/>
  <c r="J16" i="33"/>
  <c r="O27" i="36" l="1"/>
  <c r="G54" i="36"/>
  <c r="G71" i="36" s="1"/>
  <c r="F42" i="36"/>
  <c r="F71" i="36" s="1"/>
  <c r="K71" i="36"/>
  <c r="K27" i="36"/>
  <c r="O11" i="36"/>
  <c r="J23" i="33"/>
  <c r="I11" i="33"/>
  <c r="H11" i="33"/>
  <c r="G11" i="33"/>
  <c r="I23" i="33"/>
  <c r="J11" i="33"/>
  <c r="K16" i="33"/>
  <c r="J12" i="33"/>
  <c r="I12" i="33"/>
  <c r="G22" i="33"/>
  <c r="H22" i="33"/>
  <c r="K22" i="33" s="1"/>
  <c r="H12" i="33"/>
  <c r="I75" i="33"/>
  <c r="I69" i="33"/>
  <c r="H69" i="33"/>
  <c r="G69" i="33"/>
  <c r="F69" i="33"/>
  <c r="E69" i="33"/>
  <c r="D69" i="33"/>
  <c r="C69" i="33"/>
  <c r="B69" i="33"/>
  <c r="J68" i="33"/>
  <c r="J69" i="33" s="1"/>
  <c r="K67" i="33"/>
  <c r="O67" i="33" s="1"/>
  <c r="O66" i="33"/>
  <c r="K66" i="33"/>
  <c r="K65" i="33"/>
  <c r="O65" i="33" s="1"/>
  <c r="K64" i="33"/>
  <c r="O64" i="33" s="1"/>
  <c r="K63" i="33"/>
  <c r="O63" i="33" s="1"/>
  <c r="J62" i="33"/>
  <c r="I62" i="33"/>
  <c r="H62" i="33"/>
  <c r="G62" i="33"/>
  <c r="F62" i="33"/>
  <c r="E62" i="33"/>
  <c r="D62" i="33"/>
  <c r="C62" i="33"/>
  <c r="B62" i="33"/>
  <c r="K61" i="33"/>
  <c r="O61" i="33" s="1"/>
  <c r="K60" i="33"/>
  <c r="O60" i="33" s="1"/>
  <c r="K59" i="33"/>
  <c r="O59" i="33" s="1"/>
  <c r="J58" i="33"/>
  <c r="I58" i="33"/>
  <c r="H58" i="33"/>
  <c r="G58" i="33"/>
  <c r="F58" i="33"/>
  <c r="E58" i="33"/>
  <c r="D58" i="33"/>
  <c r="C58" i="33"/>
  <c r="B58" i="33"/>
  <c r="K57" i="33"/>
  <c r="O57" i="33" s="1"/>
  <c r="K56" i="33"/>
  <c r="K58" i="33" s="1"/>
  <c r="O58" i="33" s="1"/>
  <c r="J55" i="33"/>
  <c r="I55" i="33"/>
  <c r="H55" i="33"/>
  <c r="F55" i="33"/>
  <c r="E55" i="33"/>
  <c r="D55" i="33"/>
  <c r="C55" i="33"/>
  <c r="B55" i="33"/>
  <c r="K54" i="33"/>
  <c r="K55" i="33" s="1"/>
  <c r="G54" i="33"/>
  <c r="G55" i="33" s="1"/>
  <c r="E53" i="33"/>
  <c r="D53" i="33"/>
  <c r="J52" i="33"/>
  <c r="K52" i="33" s="1"/>
  <c r="C52" i="33"/>
  <c r="F52" i="33" s="1"/>
  <c r="L52" i="33" s="1"/>
  <c r="J51" i="33"/>
  <c r="H51" i="33"/>
  <c r="K51" i="33" s="1"/>
  <c r="C51" i="33"/>
  <c r="G51" i="33" s="1"/>
  <c r="K50" i="33"/>
  <c r="C50" i="33"/>
  <c r="B50" i="33" s="1"/>
  <c r="K49" i="33"/>
  <c r="C49" i="33"/>
  <c r="F49" i="33" s="1"/>
  <c r="L49" i="33" s="1"/>
  <c r="K48" i="33"/>
  <c r="C48" i="33"/>
  <c r="G48" i="33" s="1"/>
  <c r="O48" i="33" s="1"/>
  <c r="B48" i="33"/>
  <c r="J47" i="33"/>
  <c r="K47" i="33" s="1"/>
  <c r="C47" i="33"/>
  <c r="G47" i="33" s="1"/>
  <c r="K46" i="33"/>
  <c r="C46" i="33"/>
  <c r="B46" i="33" s="1"/>
  <c r="K45" i="33"/>
  <c r="C45" i="33"/>
  <c r="F45" i="33" s="1"/>
  <c r="L45" i="33" s="1"/>
  <c r="K44" i="33"/>
  <c r="C44" i="33"/>
  <c r="B44" i="33" s="1"/>
  <c r="J43" i="33"/>
  <c r="K43" i="33" s="1"/>
  <c r="C43" i="33"/>
  <c r="F43" i="33" s="1"/>
  <c r="L43" i="33" s="1"/>
  <c r="J42" i="33"/>
  <c r="I42" i="33"/>
  <c r="I53" i="33" s="1"/>
  <c r="H42" i="33"/>
  <c r="C42" i="33"/>
  <c r="B42" i="33" s="1"/>
  <c r="H41" i="33"/>
  <c r="E41" i="33"/>
  <c r="E70" i="33" s="1"/>
  <c r="D41" i="33"/>
  <c r="B41" i="33"/>
  <c r="K40" i="33"/>
  <c r="J40" i="33"/>
  <c r="C40" i="33"/>
  <c r="G40" i="33" s="1"/>
  <c r="J39" i="33"/>
  <c r="K39" i="33" s="1"/>
  <c r="C39" i="33"/>
  <c r="G39" i="33" s="1"/>
  <c r="K38" i="33"/>
  <c r="C38" i="33"/>
  <c r="G38" i="33" s="1"/>
  <c r="J37" i="33"/>
  <c r="I37" i="33"/>
  <c r="K37" i="33" s="1"/>
  <c r="F37" i="33"/>
  <c r="L37" i="33" s="1"/>
  <c r="C37" i="33"/>
  <c r="G37" i="33" s="1"/>
  <c r="J36" i="33"/>
  <c r="I36" i="33"/>
  <c r="C36" i="33"/>
  <c r="F36" i="33" s="1"/>
  <c r="L36" i="33" s="1"/>
  <c r="L35" i="33"/>
  <c r="K35" i="33"/>
  <c r="C35" i="33"/>
  <c r="G35" i="33" s="1"/>
  <c r="L34" i="33"/>
  <c r="K34" i="33"/>
  <c r="C34" i="33"/>
  <c r="G34" i="33" s="1"/>
  <c r="O34" i="33" s="1"/>
  <c r="K33" i="33"/>
  <c r="C33" i="33"/>
  <c r="F33" i="33" s="1"/>
  <c r="L33" i="33" s="1"/>
  <c r="J32" i="33"/>
  <c r="K32" i="33" s="1"/>
  <c r="G32" i="33"/>
  <c r="C32" i="33"/>
  <c r="F32" i="33" s="1"/>
  <c r="L32" i="33" s="1"/>
  <c r="K31" i="33"/>
  <c r="C31" i="33"/>
  <c r="G31" i="33" s="1"/>
  <c r="K30" i="33"/>
  <c r="C30" i="33"/>
  <c r="G30" i="33" s="1"/>
  <c r="O30" i="33" s="1"/>
  <c r="K29" i="33"/>
  <c r="G29" i="33"/>
  <c r="C29" i="33"/>
  <c r="F29" i="33" s="1"/>
  <c r="L29" i="33" s="1"/>
  <c r="J28" i="33"/>
  <c r="I28" i="33"/>
  <c r="K28" i="33" s="1"/>
  <c r="C28" i="33"/>
  <c r="F28" i="33" s="1"/>
  <c r="L28" i="33" s="1"/>
  <c r="J27" i="33"/>
  <c r="I27" i="33"/>
  <c r="K27" i="33" s="1"/>
  <c r="C27" i="33"/>
  <c r="G27" i="33" s="1"/>
  <c r="E26" i="33"/>
  <c r="D26" i="33"/>
  <c r="C26" i="33"/>
  <c r="B26" i="33"/>
  <c r="K25" i="33"/>
  <c r="G25" i="33"/>
  <c r="F25" i="33"/>
  <c r="L25" i="33" s="1"/>
  <c r="K24" i="33"/>
  <c r="G24" i="33"/>
  <c r="F24" i="33"/>
  <c r="L24" i="33" s="1"/>
  <c r="G23" i="33"/>
  <c r="F23" i="33"/>
  <c r="L23" i="33" s="1"/>
  <c r="F22" i="33"/>
  <c r="L22" i="33" s="1"/>
  <c r="L21" i="33"/>
  <c r="G21" i="33"/>
  <c r="O21" i="33" s="1"/>
  <c r="L20" i="33"/>
  <c r="K20" i="33"/>
  <c r="G20" i="33"/>
  <c r="L19" i="33"/>
  <c r="K19" i="33"/>
  <c r="O19" i="33" s="1"/>
  <c r="G19" i="33"/>
  <c r="L18" i="33"/>
  <c r="K18" i="33"/>
  <c r="G18" i="33"/>
  <c r="K17" i="33"/>
  <c r="G17" i="33"/>
  <c r="F17" i="33"/>
  <c r="L17" i="33" s="1"/>
  <c r="G16" i="33"/>
  <c r="F16" i="33"/>
  <c r="L16" i="33" s="1"/>
  <c r="K15" i="33"/>
  <c r="G15" i="33"/>
  <c r="F15" i="33"/>
  <c r="L15" i="33" s="1"/>
  <c r="K14" i="33"/>
  <c r="G14" i="33"/>
  <c r="F14" i="33"/>
  <c r="L14" i="33" s="1"/>
  <c r="K13" i="33"/>
  <c r="G13" i="33"/>
  <c r="F13" i="33"/>
  <c r="L13" i="33" s="1"/>
  <c r="G12" i="33"/>
  <c r="F12" i="33"/>
  <c r="L12" i="33" s="1"/>
  <c r="F11" i="33"/>
  <c r="L11" i="33" s="1"/>
  <c r="J23" i="32"/>
  <c r="I23" i="32"/>
  <c r="J16" i="32"/>
  <c r="I16" i="32"/>
  <c r="J12" i="32"/>
  <c r="I12" i="32"/>
  <c r="F11" i="32"/>
  <c r="I11" i="32"/>
  <c r="J11" i="32"/>
  <c r="H22" i="32"/>
  <c r="H12" i="32"/>
  <c r="H11" i="32"/>
  <c r="G21" i="32"/>
  <c r="L21" i="32"/>
  <c r="O21" i="32"/>
  <c r="O54" i="36" l="1"/>
  <c r="O40" i="33"/>
  <c r="B45" i="33"/>
  <c r="O55" i="33"/>
  <c r="O29" i="33"/>
  <c r="G45" i="33"/>
  <c r="O45" i="33" s="1"/>
  <c r="D70" i="33"/>
  <c r="J53" i="33"/>
  <c r="G43" i="33"/>
  <c r="O43" i="33" s="1"/>
  <c r="I26" i="33"/>
  <c r="O25" i="33"/>
  <c r="O37" i="33"/>
  <c r="F44" i="33"/>
  <c r="L44" i="33" s="1"/>
  <c r="F50" i="33"/>
  <c r="L50" i="33" s="1"/>
  <c r="F30" i="33"/>
  <c r="L30" i="33" s="1"/>
  <c r="O32" i="33"/>
  <c r="G36" i="33"/>
  <c r="G44" i="33"/>
  <c r="O44" i="33" s="1"/>
  <c r="F48" i="33"/>
  <c r="L48" i="33" s="1"/>
  <c r="G50" i="33"/>
  <c r="O50" i="33" s="1"/>
  <c r="G52" i="33"/>
  <c r="O52" i="33" s="1"/>
  <c r="O17" i="33"/>
  <c r="O20" i="33"/>
  <c r="G28" i="33"/>
  <c r="O28" i="33" s="1"/>
  <c r="K36" i="33"/>
  <c r="O36" i="33" s="1"/>
  <c r="B47" i="33"/>
  <c r="K68" i="33"/>
  <c r="O68" i="33" s="1"/>
  <c r="F38" i="33"/>
  <c r="L38" i="33" s="1"/>
  <c r="F31" i="33"/>
  <c r="L31" i="33" s="1"/>
  <c r="C53" i="33"/>
  <c r="F53" i="33" s="1"/>
  <c r="C41" i="33"/>
  <c r="C70" i="33" s="1"/>
  <c r="G33" i="33"/>
  <c r="O33" i="33" s="1"/>
  <c r="O35" i="33"/>
  <c r="G42" i="33"/>
  <c r="F40" i="33"/>
  <c r="L40" i="33" s="1"/>
  <c r="F47" i="33"/>
  <c r="L47" i="33" s="1"/>
  <c r="G49" i="33"/>
  <c r="O49" i="33" s="1"/>
  <c r="O38" i="33"/>
  <c r="K42" i="33"/>
  <c r="K53" i="33" s="1"/>
  <c r="O47" i="33"/>
  <c r="B52" i="33"/>
  <c r="O56" i="33"/>
  <c r="K69" i="33"/>
  <c r="O69" i="33" s="1"/>
  <c r="K23" i="33"/>
  <c r="O23" i="33" s="1"/>
  <c r="J26" i="33"/>
  <c r="K12" i="33"/>
  <c r="O12" i="33" s="1"/>
  <c r="O14" i="33"/>
  <c r="O13" i="33"/>
  <c r="H26" i="33"/>
  <c r="O24" i="33"/>
  <c r="R26" i="33"/>
  <c r="O22" i="33"/>
  <c r="O15" i="33"/>
  <c r="O18" i="33"/>
  <c r="G26" i="33"/>
  <c r="O16" i="33"/>
  <c r="O31" i="33"/>
  <c r="K41" i="33"/>
  <c r="O27" i="33"/>
  <c r="O39" i="33"/>
  <c r="O51" i="33"/>
  <c r="K11" i="33"/>
  <c r="F26" i="33"/>
  <c r="F39" i="33"/>
  <c r="L39" i="33" s="1"/>
  <c r="F46" i="33"/>
  <c r="L46" i="33" s="1"/>
  <c r="O54" i="33"/>
  <c r="F27" i="33"/>
  <c r="F42" i="33"/>
  <c r="L42" i="33" s="1"/>
  <c r="G46" i="33"/>
  <c r="H53" i="33"/>
  <c r="H70" i="33" s="1"/>
  <c r="B51" i="33"/>
  <c r="K62" i="33"/>
  <c r="O62" i="33" s="1"/>
  <c r="I41" i="33"/>
  <c r="I70" i="33" s="1"/>
  <c r="B49" i="33"/>
  <c r="F51" i="33"/>
  <c r="L51" i="33" s="1"/>
  <c r="J41" i="33"/>
  <c r="J26" i="32"/>
  <c r="I26" i="32"/>
  <c r="H26" i="32"/>
  <c r="E26" i="32"/>
  <c r="D26" i="32"/>
  <c r="B26" i="32"/>
  <c r="C26" i="32"/>
  <c r="K25" i="32"/>
  <c r="G25" i="32"/>
  <c r="F25" i="32"/>
  <c r="L25" i="32" s="1"/>
  <c r="I75" i="32"/>
  <c r="I69" i="32"/>
  <c r="H69" i="32"/>
  <c r="G69" i="32"/>
  <c r="F69" i="32"/>
  <c r="E69" i="32"/>
  <c r="D69" i="32"/>
  <c r="C69" i="32"/>
  <c r="B69" i="32"/>
  <c r="J68" i="32"/>
  <c r="J69" i="32" s="1"/>
  <c r="K67" i="32"/>
  <c r="O67" i="32" s="1"/>
  <c r="K66" i="32"/>
  <c r="K65" i="32"/>
  <c r="O65" i="32" s="1"/>
  <c r="K64" i="32"/>
  <c r="O64" i="32" s="1"/>
  <c r="K63" i="32"/>
  <c r="O63" i="32" s="1"/>
  <c r="J62" i="32"/>
  <c r="I62" i="32"/>
  <c r="H62" i="32"/>
  <c r="G62" i="32"/>
  <c r="F62" i="32"/>
  <c r="E62" i="32"/>
  <c r="D62" i="32"/>
  <c r="C62" i="32"/>
  <c r="B62" i="32"/>
  <c r="K61" i="32"/>
  <c r="O61" i="32" s="1"/>
  <c r="K60" i="32"/>
  <c r="O60" i="32" s="1"/>
  <c r="K59" i="32"/>
  <c r="O59" i="32" s="1"/>
  <c r="J58" i="32"/>
  <c r="I58" i="32"/>
  <c r="H58" i="32"/>
  <c r="G58" i="32"/>
  <c r="F58" i="32"/>
  <c r="E58" i="32"/>
  <c r="D58" i="32"/>
  <c r="C58" i="32"/>
  <c r="B58" i="32"/>
  <c r="K57" i="32"/>
  <c r="O57" i="32" s="1"/>
  <c r="K56" i="32"/>
  <c r="J55" i="32"/>
  <c r="I55" i="32"/>
  <c r="H55" i="32"/>
  <c r="F55" i="32"/>
  <c r="E55" i="32"/>
  <c r="D55" i="32"/>
  <c r="C55" i="32"/>
  <c r="B55" i="32"/>
  <c r="K54" i="32"/>
  <c r="K55" i="32" s="1"/>
  <c r="G54" i="32"/>
  <c r="G55" i="32" s="1"/>
  <c r="E53" i="32"/>
  <c r="D53" i="32"/>
  <c r="J52" i="32"/>
  <c r="K52" i="32" s="1"/>
  <c r="C52" i="32"/>
  <c r="G52" i="32" s="1"/>
  <c r="J51" i="32"/>
  <c r="H51" i="32"/>
  <c r="K51" i="32" s="1"/>
  <c r="C51" i="32"/>
  <c r="F51" i="32" s="1"/>
  <c r="L51" i="32" s="1"/>
  <c r="K50" i="32"/>
  <c r="C50" i="32"/>
  <c r="B50" i="32" s="1"/>
  <c r="K49" i="32"/>
  <c r="C49" i="32"/>
  <c r="G49" i="32" s="1"/>
  <c r="K48" i="32"/>
  <c r="C48" i="32"/>
  <c r="F48" i="32" s="1"/>
  <c r="L48" i="32" s="1"/>
  <c r="K47" i="32"/>
  <c r="J47" i="32"/>
  <c r="C47" i="32"/>
  <c r="F47" i="32" s="1"/>
  <c r="L47" i="32" s="1"/>
  <c r="K46" i="32"/>
  <c r="C46" i="32"/>
  <c r="G46" i="32" s="1"/>
  <c r="B46" i="32"/>
  <c r="K45" i="32"/>
  <c r="C45" i="32"/>
  <c r="F45" i="32" s="1"/>
  <c r="L45" i="32" s="1"/>
  <c r="K44" i="32"/>
  <c r="G44" i="32"/>
  <c r="C44" i="32"/>
  <c r="F44" i="32" s="1"/>
  <c r="L44" i="32" s="1"/>
  <c r="B44" i="32"/>
  <c r="J43" i="32"/>
  <c r="K43" i="32" s="1"/>
  <c r="C43" i="32"/>
  <c r="G43" i="32" s="1"/>
  <c r="J42" i="32"/>
  <c r="I42" i="32"/>
  <c r="I53" i="32" s="1"/>
  <c r="H42" i="32"/>
  <c r="H53" i="32" s="1"/>
  <c r="C42" i="32"/>
  <c r="F42" i="32" s="1"/>
  <c r="L42" i="32" s="1"/>
  <c r="H41" i="32"/>
  <c r="E41" i="32"/>
  <c r="D41" i="32"/>
  <c r="B41" i="32"/>
  <c r="J40" i="32"/>
  <c r="K40" i="32" s="1"/>
  <c r="C40" i="32"/>
  <c r="F40" i="32" s="1"/>
  <c r="L40" i="32" s="1"/>
  <c r="J39" i="32"/>
  <c r="K39" i="32" s="1"/>
  <c r="C39" i="32"/>
  <c r="F39" i="32" s="1"/>
  <c r="L39" i="32" s="1"/>
  <c r="K38" i="32"/>
  <c r="C38" i="32"/>
  <c r="G38" i="32" s="1"/>
  <c r="J37" i="32"/>
  <c r="I37" i="32"/>
  <c r="K37" i="32" s="1"/>
  <c r="C37" i="32"/>
  <c r="G37" i="32" s="1"/>
  <c r="J36" i="32"/>
  <c r="I36" i="32"/>
  <c r="K36" i="32" s="1"/>
  <c r="C36" i="32"/>
  <c r="G36" i="32" s="1"/>
  <c r="L35" i="32"/>
  <c r="K35" i="32"/>
  <c r="C35" i="32"/>
  <c r="G35" i="32" s="1"/>
  <c r="O35" i="32" s="1"/>
  <c r="L34" i="32"/>
  <c r="K34" i="32"/>
  <c r="C34" i="32"/>
  <c r="G34" i="32" s="1"/>
  <c r="K33" i="32"/>
  <c r="C33" i="32"/>
  <c r="G33" i="32" s="1"/>
  <c r="J32" i="32"/>
  <c r="K32" i="32" s="1"/>
  <c r="O32" i="32" s="1"/>
  <c r="C32" i="32"/>
  <c r="G32" i="32" s="1"/>
  <c r="K31" i="32"/>
  <c r="C31" i="32"/>
  <c r="F31" i="32" s="1"/>
  <c r="L31" i="32" s="1"/>
  <c r="K30" i="32"/>
  <c r="C30" i="32"/>
  <c r="F30" i="32" s="1"/>
  <c r="L30" i="32" s="1"/>
  <c r="K29" i="32"/>
  <c r="C29" i="32"/>
  <c r="F29" i="32" s="1"/>
  <c r="L29" i="32" s="1"/>
  <c r="J28" i="32"/>
  <c r="I28" i="32"/>
  <c r="C28" i="32"/>
  <c r="F28" i="32" s="1"/>
  <c r="L28" i="32" s="1"/>
  <c r="J27" i="32"/>
  <c r="I27" i="32"/>
  <c r="C27" i="32"/>
  <c r="F27" i="32" s="1"/>
  <c r="L24" i="32"/>
  <c r="K24" i="32"/>
  <c r="G24" i="32"/>
  <c r="F24" i="32"/>
  <c r="G23" i="32"/>
  <c r="F23" i="32"/>
  <c r="L23" i="32" s="1"/>
  <c r="K22" i="32"/>
  <c r="F22" i="32"/>
  <c r="L22" i="32" s="1"/>
  <c r="L20" i="32"/>
  <c r="K20" i="32"/>
  <c r="G20" i="32"/>
  <c r="L19" i="32"/>
  <c r="K19" i="32"/>
  <c r="G19" i="32"/>
  <c r="L18" i="32"/>
  <c r="K18" i="32"/>
  <c r="G18" i="32"/>
  <c r="K17" i="32"/>
  <c r="G17" i="32"/>
  <c r="F17" i="32"/>
  <c r="L17" i="32" s="1"/>
  <c r="K16" i="32"/>
  <c r="G16" i="32"/>
  <c r="O16" i="32" s="1"/>
  <c r="F16" i="32"/>
  <c r="L16" i="32" s="1"/>
  <c r="K15" i="32"/>
  <c r="G15" i="32"/>
  <c r="F15" i="32"/>
  <c r="L15" i="32" s="1"/>
  <c r="K14" i="32"/>
  <c r="G14" i="32"/>
  <c r="F14" i="32"/>
  <c r="L14" i="32" s="1"/>
  <c r="K13" i="32"/>
  <c r="G13" i="32"/>
  <c r="F13" i="32"/>
  <c r="L13" i="32" s="1"/>
  <c r="K12" i="32"/>
  <c r="G12" i="32"/>
  <c r="F12" i="32"/>
  <c r="L12" i="32" s="1"/>
  <c r="G11" i="32"/>
  <c r="O11" i="32" s="1"/>
  <c r="J70" i="33" l="1"/>
  <c r="G53" i="33"/>
  <c r="O53" i="33" s="1"/>
  <c r="O42" i="33"/>
  <c r="G41" i="33"/>
  <c r="B53" i="33"/>
  <c r="B70" i="33" s="1"/>
  <c r="K70" i="33"/>
  <c r="O46" i="33"/>
  <c r="K26" i="33"/>
  <c r="O11" i="33"/>
  <c r="O26" i="33" s="1"/>
  <c r="L27" i="33"/>
  <c r="F41" i="33"/>
  <c r="F70" i="33" s="1"/>
  <c r="O25" i="32"/>
  <c r="R26" i="32"/>
  <c r="F26" i="32"/>
  <c r="O17" i="32"/>
  <c r="O14" i="32"/>
  <c r="O19" i="32"/>
  <c r="E70" i="32"/>
  <c r="O55" i="32"/>
  <c r="G39" i="32"/>
  <c r="F46" i="32"/>
  <c r="L46" i="32" s="1"/>
  <c r="O54" i="32"/>
  <c r="K62" i="32"/>
  <c r="O62" i="32" s="1"/>
  <c r="O20" i="32"/>
  <c r="F37" i="32"/>
  <c r="L37" i="32" s="1"/>
  <c r="B49" i="32"/>
  <c r="K58" i="32"/>
  <c r="O58" i="32" s="1"/>
  <c r="O13" i="32"/>
  <c r="O46" i="32"/>
  <c r="O44" i="32"/>
  <c r="F33" i="32"/>
  <c r="L33" i="32" s="1"/>
  <c r="J53" i="32"/>
  <c r="G30" i="32"/>
  <c r="O30" i="32" s="1"/>
  <c r="F38" i="32"/>
  <c r="L38" i="32" s="1"/>
  <c r="O12" i="32"/>
  <c r="O34" i="32"/>
  <c r="O15" i="32"/>
  <c r="O24" i="32"/>
  <c r="J41" i="32"/>
  <c r="G40" i="32"/>
  <c r="O40" i="32" s="1"/>
  <c r="G42" i="32"/>
  <c r="G47" i="32"/>
  <c r="O47" i="32" s="1"/>
  <c r="O38" i="32"/>
  <c r="H70" i="32"/>
  <c r="O49" i="32"/>
  <c r="O36" i="32"/>
  <c r="G28" i="32"/>
  <c r="I41" i="32"/>
  <c r="I70" i="32" s="1"/>
  <c r="O43" i="32"/>
  <c r="D70" i="32"/>
  <c r="O18" i="32"/>
  <c r="K23" i="32"/>
  <c r="O23" i="32" s="1"/>
  <c r="K28" i="32"/>
  <c r="O33" i="32"/>
  <c r="B48" i="32"/>
  <c r="B52" i="32"/>
  <c r="O37" i="32"/>
  <c r="C53" i="32"/>
  <c r="F53" i="32" s="1"/>
  <c r="O52" i="32"/>
  <c r="F36" i="32"/>
  <c r="L36" i="32" s="1"/>
  <c r="O39" i="32"/>
  <c r="F43" i="32"/>
  <c r="L43" i="32" s="1"/>
  <c r="G48" i="32"/>
  <c r="O48" i="32" s="1"/>
  <c r="G22" i="32"/>
  <c r="G26" i="32" s="1"/>
  <c r="G27" i="32"/>
  <c r="G29" i="32"/>
  <c r="O29" i="32" s="1"/>
  <c r="G45" i="32"/>
  <c r="B47" i="32"/>
  <c r="B51" i="32"/>
  <c r="J70" i="32"/>
  <c r="L27" i="32"/>
  <c r="O66" i="32"/>
  <c r="F50" i="32"/>
  <c r="L50" i="32" s="1"/>
  <c r="G51" i="32"/>
  <c r="O51" i="32" s="1"/>
  <c r="F52" i="32"/>
  <c r="L52" i="32" s="1"/>
  <c r="O56" i="32"/>
  <c r="K11" i="32"/>
  <c r="G31" i="32"/>
  <c r="O31" i="32" s="1"/>
  <c r="C41" i="32"/>
  <c r="K42" i="32"/>
  <c r="F49" i="32"/>
  <c r="L49" i="32" s="1"/>
  <c r="G50" i="32"/>
  <c r="O50" i="32" s="1"/>
  <c r="L11" i="32"/>
  <c r="B42" i="32"/>
  <c r="B53" i="32" s="1"/>
  <c r="B70" i="32" s="1"/>
  <c r="B45" i="32"/>
  <c r="K68" i="32"/>
  <c r="O68" i="32" s="1"/>
  <c r="F32" i="32"/>
  <c r="L32" i="32" s="1"/>
  <c r="K27" i="32"/>
  <c r="J22" i="31"/>
  <c r="K22" i="31" s="1"/>
  <c r="J16" i="31"/>
  <c r="K16" i="31" s="1"/>
  <c r="I16" i="31"/>
  <c r="J12" i="31"/>
  <c r="I12" i="31"/>
  <c r="K12" i="31" s="1"/>
  <c r="J11" i="31"/>
  <c r="I11" i="31"/>
  <c r="H12" i="31"/>
  <c r="H11" i="31"/>
  <c r="D21" i="31"/>
  <c r="D24" i="31" s="1"/>
  <c r="I73" i="31"/>
  <c r="I67" i="31"/>
  <c r="H67" i="31"/>
  <c r="G67" i="31"/>
  <c r="F67" i="31"/>
  <c r="E67" i="31"/>
  <c r="D67" i="31"/>
  <c r="C67" i="31"/>
  <c r="B67" i="31"/>
  <c r="J66" i="31"/>
  <c r="J67" i="31" s="1"/>
  <c r="K65" i="31"/>
  <c r="M65" i="31" s="1"/>
  <c r="K64" i="31"/>
  <c r="M64" i="31" s="1"/>
  <c r="M63" i="31"/>
  <c r="K63" i="31"/>
  <c r="K62" i="31"/>
  <c r="M62" i="31" s="1"/>
  <c r="K61" i="31"/>
  <c r="M61" i="31" s="1"/>
  <c r="J60" i="31"/>
  <c r="I60" i="31"/>
  <c r="H60" i="31"/>
  <c r="G60" i="31"/>
  <c r="F60" i="31"/>
  <c r="E60" i="31"/>
  <c r="D60" i="31"/>
  <c r="C60" i="31"/>
  <c r="B60" i="31"/>
  <c r="K59" i="31"/>
  <c r="M59" i="31" s="1"/>
  <c r="K58" i="31"/>
  <c r="M58" i="31" s="1"/>
  <c r="M57" i="31"/>
  <c r="K57" i="31"/>
  <c r="J56" i="31"/>
  <c r="I56" i="31"/>
  <c r="H56" i="31"/>
  <c r="G56" i="31"/>
  <c r="F56" i="31"/>
  <c r="E56" i="31"/>
  <c r="D56" i="31"/>
  <c r="C56" i="31"/>
  <c r="B56" i="31"/>
  <c r="K55" i="31"/>
  <c r="M55" i="31" s="1"/>
  <c r="K54" i="31"/>
  <c r="K56" i="31" s="1"/>
  <c r="M56" i="31" s="1"/>
  <c r="J53" i="31"/>
  <c r="I53" i="31"/>
  <c r="H53" i="31"/>
  <c r="F53" i="31"/>
  <c r="E53" i="31"/>
  <c r="D53" i="31"/>
  <c r="C53" i="31"/>
  <c r="B53" i="31"/>
  <c r="K52" i="31"/>
  <c r="K53" i="31" s="1"/>
  <c r="G52" i="31"/>
  <c r="G53" i="31" s="1"/>
  <c r="E51" i="31"/>
  <c r="D51" i="31"/>
  <c r="J50" i="31"/>
  <c r="K50" i="31" s="1"/>
  <c r="C50" i="31"/>
  <c r="G50" i="31" s="1"/>
  <c r="J49" i="31"/>
  <c r="H49" i="31"/>
  <c r="G49" i="31"/>
  <c r="F49" i="31"/>
  <c r="L49" i="31" s="1"/>
  <c r="C49" i="31"/>
  <c r="B49" i="31" s="1"/>
  <c r="K48" i="31"/>
  <c r="C48" i="31"/>
  <c r="G48" i="31" s="1"/>
  <c r="M48" i="31" s="1"/>
  <c r="K47" i="31"/>
  <c r="C47" i="31"/>
  <c r="F47" i="31" s="1"/>
  <c r="L47" i="31" s="1"/>
  <c r="K46" i="31"/>
  <c r="C46" i="31"/>
  <c r="G46" i="31" s="1"/>
  <c r="J45" i="31"/>
  <c r="K45" i="31" s="1"/>
  <c r="C45" i="31"/>
  <c r="B45" i="31"/>
  <c r="K44" i="31"/>
  <c r="M44" i="31" s="1"/>
  <c r="G44" i="31"/>
  <c r="C44" i="31"/>
  <c r="F44" i="31" s="1"/>
  <c r="L44" i="31" s="1"/>
  <c r="K43" i="31"/>
  <c r="C43" i="31"/>
  <c r="B43" i="31" s="1"/>
  <c r="K42" i="31"/>
  <c r="C42" i="31"/>
  <c r="G42" i="31" s="1"/>
  <c r="J41" i="31"/>
  <c r="K41" i="31" s="1"/>
  <c r="C41" i="31"/>
  <c r="G41" i="31" s="1"/>
  <c r="J40" i="31"/>
  <c r="J51" i="31" s="1"/>
  <c r="I40" i="31"/>
  <c r="H40" i="31"/>
  <c r="G40" i="31"/>
  <c r="F40" i="31"/>
  <c r="L40" i="31" s="1"/>
  <c r="C40" i="31"/>
  <c r="B40" i="31"/>
  <c r="H39" i="31"/>
  <c r="E39" i="31"/>
  <c r="D39" i="31"/>
  <c r="B39" i="31"/>
  <c r="J38" i="31"/>
  <c r="K38" i="31" s="1"/>
  <c r="M38" i="31" s="1"/>
  <c r="C38" i="31"/>
  <c r="G38" i="31" s="1"/>
  <c r="J37" i="31"/>
  <c r="K37" i="31" s="1"/>
  <c r="C37" i="31"/>
  <c r="F37" i="31" s="1"/>
  <c r="L37" i="31" s="1"/>
  <c r="K36" i="31"/>
  <c r="C36" i="31"/>
  <c r="G36" i="31" s="1"/>
  <c r="J35" i="31"/>
  <c r="I35" i="31"/>
  <c r="C35" i="31"/>
  <c r="G35" i="31" s="1"/>
  <c r="J34" i="31"/>
  <c r="I34" i="31"/>
  <c r="K34" i="31" s="1"/>
  <c r="C34" i="31"/>
  <c r="G34" i="31" s="1"/>
  <c r="L33" i="31"/>
  <c r="K33" i="31"/>
  <c r="C33" i="31"/>
  <c r="G33" i="31" s="1"/>
  <c r="L32" i="31"/>
  <c r="K32" i="31"/>
  <c r="C32" i="31"/>
  <c r="G32" i="31" s="1"/>
  <c r="K31" i="31"/>
  <c r="C31" i="31"/>
  <c r="G31" i="31" s="1"/>
  <c r="J30" i="31"/>
  <c r="K30" i="31" s="1"/>
  <c r="C30" i="31"/>
  <c r="F30" i="31" s="1"/>
  <c r="L30" i="31" s="1"/>
  <c r="K29" i="31"/>
  <c r="C29" i="31"/>
  <c r="F29" i="31" s="1"/>
  <c r="L29" i="31" s="1"/>
  <c r="K28" i="31"/>
  <c r="C28" i="31"/>
  <c r="L27" i="31"/>
  <c r="K27" i="31"/>
  <c r="M27" i="31" s="1"/>
  <c r="G27" i="31"/>
  <c r="F27" i="31"/>
  <c r="C27" i="31"/>
  <c r="J26" i="31"/>
  <c r="I26" i="31"/>
  <c r="K26" i="31" s="1"/>
  <c r="M26" i="31" s="1"/>
  <c r="G26" i="31"/>
  <c r="F26" i="31"/>
  <c r="L26" i="31" s="1"/>
  <c r="C26" i="31"/>
  <c r="J25" i="31"/>
  <c r="I25" i="31"/>
  <c r="C25" i="31"/>
  <c r="F25" i="31" s="1"/>
  <c r="L25" i="31" s="1"/>
  <c r="E24" i="31"/>
  <c r="C24" i="31"/>
  <c r="B24" i="31"/>
  <c r="K23" i="31"/>
  <c r="G23" i="31"/>
  <c r="F23" i="31"/>
  <c r="L23" i="31" s="1"/>
  <c r="I22" i="31"/>
  <c r="G22" i="31"/>
  <c r="F22" i="31"/>
  <c r="L22" i="31" s="1"/>
  <c r="K21" i="31"/>
  <c r="F21" i="31"/>
  <c r="L21" i="31" s="1"/>
  <c r="L20" i="31"/>
  <c r="K20" i="31"/>
  <c r="G20" i="31"/>
  <c r="L19" i="31"/>
  <c r="K19" i="31"/>
  <c r="G19" i="31"/>
  <c r="L18" i="31"/>
  <c r="K18" i="31"/>
  <c r="G18" i="31"/>
  <c r="K17" i="31"/>
  <c r="G17" i="31"/>
  <c r="F17" i="31"/>
  <c r="L17" i="31" s="1"/>
  <c r="G16" i="31"/>
  <c r="F16" i="31"/>
  <c r="L16" i="31" s="1"/>
  <c r="K15" i="31"/>
  <c r="M15" i="31" s="1"/>
  <c r="G15" i="31"/>
  <c r="F15" i="31"/>
  <c r="L15" i="31" s="1"/>
  <c r="K14" i="31"/>
  <c r="G14" i="31"/>
  <c r="F14" i="31"/>
  <c r="L14" i="31" s="1"/>
  <c r="K13" i="31"/>
  <c r="G13" i="31"/>
  <c r="F13" i="31"/>
  <c r="L13" i="31" s="1"/>
  <c r="G12" i="31"/>
  <c r="F12" i="31"/>
  <c r="L12" i="31" s="1"/>
  <c r="G11" i="31"/>
  <c r="F11" i="31"/>
  <c r="L11" i="31" s="1"/>
  <c r="J22" i="30"/>
  <c r="I22" i="30"/>
  <c r="J16" i="30"/>
  <c r="I16" i="30"/>
  <c r="J12" i="30"/>
  <c r="I12" i="30"/>
  <c r="J11" i="30"/>
  <c r="I11" i="30"/>
  <c r="G70" i="33" l="1"/>
  <c r="K26" i="32"/>
  <c r="O22" i="32"/>
  <c r="C70" i="32"/>
  <c r="G41" i="32"/>
  <c r="G53" i="32"/>
  <c r="O45" i="32"/>
  <c r="K69" i="32"/>
  <c r="O69" i="32" s="1"/>
  <c r="O28" i="32"/>
  <c r="K53" i="32"/>
  <c r="O53" i="32" s="1"/>
  <c r="O42" i="32"/>
  <c r="O27" i="32"/>
  <c r="K41" i="32"/>
  <c r="G70" i="32"/>
  <c r="F41" i="32"/>
  <c r="F70" i="32" s="1"/>
  <c r="I24" i="31"/>
  <c r="G21" i="31"/>
  <c r="M21" i="31" s="1"/>
  <c r="M23" i="31"/>
  <c r="M20" i="31"/>
  <c r="M18" i="31"/>
  <c r="M43" i="31"/>
  <c r="K40" i="31"/>
  <c r="M40" i="31" s="1"/>
  <c r="M14" i="31"/>
  <c r="G43" i="31"/>
  <c r="G25" i="31"/>
  <c r="M54" i="31"/>
  <c r="C39" i="31"/>
  <c r="G37" i="31"/>
  <c r="C51" i="31"/>
  <c r="H24" i="31"/>
  <c r="M17" i="31"/>
  <c r="J39" i="31"/>
  <c r="M37" i="31"/>
  <c r="M16" i="31"/>
  <c r="G30" i="31"/>
  <c r="F43" i="31"/>
  <c r="L43" i="31" s="1"/>
  <c r="M12" i="31"/>
  <c r="M30" i="31"/>
  <c r="H51" i="31"/>
  <c r="H68" i="31" s="1"/>
  <c r="M19" i="31"/>
  <c r="G24" i="31"/>
  <c r="F48" i="31"/>
  <c r="L48" i="31" s="1"/>
  <c r="M13" i="31"/>
  <c r="M22" i="31"/>
  <c r="B44" i="31"/>
  <c r="B46" i="31"/>
  <c r="D68" i="31"/>
  <c r="M33" i="31"/>
  <c r="M53" i="31"/>
  <c r="K35" i="31"/>
  <c r="M35" i="31" s="1"/>
  <c r="E68" i="31"/>
  <c r="M41" i="31"/>
  <c r="J68" i="31"/>
  <c r="M28" i="31"/>
  <c r="M50" i="31"/>
  <c r="M32" i="31"/>
  <c r="M42" i="31"/>
  <c r="M34" i="31"/>
  <c r="M46" i="31"/>
  <c r="M31" i="31"/>
  <c r="M36" i="31"/>
  <c r="F28" i="31"/>
  <c r="L28" i="31" s="1"/>
  <c r="F38" i="31"/>
  <c r="L38" i="31" s="1"/>
  <c r="F45" i="31"/>
  <c r="L45" i="31" s="1"/>
  <c r="F46" i="31"/>
  <c r="L46" i="31" s="1"/>
  <c r="G47" i="31"/>
  <c r="M47" i="31" s="1"/>
  <c r="F51" i="31"/>
  <c r="K66" i="31"/>
  <c r="M66" i="31" s="1"/>
  <c r="G28" i="31"/>
  <c r="B42" i="31"/>
  <c r="B51" i="31" s="1"/>
  <c r="B68" i="31" s="1"/>
  <c r="G45" i="31"/>
  <c r="G51" i="31" s="1"/>
  <c r="K49" i="31"/>
  <c r="M49" i="31" s="1"/>
  <c r="M52" i="31"/>
  <c r="J24" i="31"/>
  <c r="G29" i="31"/>
  <c r="M29" i="31" s="1"/>
  <c r="F31" i="31"/>
  <c r="L31" i="31" s="1"/>
  <c r="F41" i="31"/>
  <c r="L41" i="31" s="1"/>
  <c r="K60" i="31"/>
  <c r="M60" i="31" s="1"/>
  <c r="K11" i="31"/>
  <c r="F24" i="31"/>
  <c r="F34" i="31"/>
  <c r="L34" i="31" s="1"/>
  <c r="F35" i="31"/>
  <c r="L35" i="31" s="1"/>
  <c r="F36" i="31"/>
  <c r="L36" i="31" s="1"/>
  <c r="F42" i="31"/>
  <c r="L42" i="31" s="1"/>
  <c r="I51" i="31"/>
  <c r="B48" i="31"/>
  <c r="B50" i="31"/>
  <c r="I39" i="31"/>
  <c r="I68" i="31" s="1"/>
  <c r="B47" i="31"/>
  <c r="K25" i="31"/>
  <c r="F50" i="31"/>
  <c r="L50" i="31" s="1"/>
  <c r="H12" i="30"/>
  <c r="K12" i="30" s="1"/>
  <c r="N12" i="30" s="1"/>
  <c r="H11" i="30"/>
  <c r="H24" i="30" s="1"/>
  <c r="C24" i="30"/>
  <c r="G21" i="30"/>
  <c r="D24" i="30"/>
  <c r="I73" i="30"/>
  <c r="I67" i="30"/>
  <c r="H67" i="30"/>
  <c r="G67" i="30"/>
  <c r="F67" i="30"/>
  <c r="E67" i="30"/>
  <c r="D67" i="30"/>
  <c r="C67" i="30"/>
  <c r="B67" i="30"/>
  <c r="J66" i="30"/>
  <c r="J67" i="30" s="1"/>
  <c r="K65" i="30"/>
  <c r="N65" i="30" s="1"/>
  <c r="N64" i="30"/>
  <c r="K64" i="30"/>
  <c r="K63" i="30"/>
  <c r="N63" i="30" s="1"/>
  <c r="K62" i="30"/>
  <c r="N62" i="30" s="1"/>
  <c r="K61" i="30"/>
  <c r="N61" i="30" s="1"/>
  <c r="J60" i="30"/>
  <c r="I60" i="30"/>
  <c r="H60" i="30"/>
  <c r="G60" i="30"/>
  <c r="F60" i="30"/>
  <c r="E60" i="30"/>
  <c r="D60" i="30"/>
  <c r="C60" i="30"/>
  <c r="B60" i="30"/>
  <c r="N59" i="30"/>
  <c r="K59" i="30"/>
  <c r="K58" i="30"/>
  <c r="N58" i="30" s="1"/>
  <c r="N57" i="30"/>
  <c r="K57" i="30"/>
  <c r="K60" i="30" s="1"/>
  <c r="N60" i="30" s="1"/>
  <c r="J56" i="30"/>
  <c r="I56" i="30"/>
  <c r="H56" i="30"/>
  <c r="G56" i="30"/>
  <c r="F56" i="30"/>
  <c r="E56" i="30"/>
  <c r="D56" i="30"/>
  <c r="C56" i="30"/>
  <c r="B56" i="30"/>
  <c r="K55" i="30"/>
  <c r="N55" i="30" s="1"/>
  <c r="K54" i="30"/>
  <c r="N54" i="30" s="1"/>
  <c r="J53" i="30"/>
  <c r="I53" i="30"/>
  <c r="H53" i="30"/>
  <c r="F53" i="30"/>
  <c r="E53" i="30"/>
  <c r="D53" i="30"/>
  <c r="C53" i="30"/>
  <c r="B53" i="30"/>
  <c r="N52" i="30"/>
  <c r="K52" i="30"/>
  <c r="K53" i="30" s="1"/>
  <c r="G52" i="30"/>
  <c r="G53" i="30" s="1"/>
  <c r="E51" i="30"/>
  <c r="D51" i="30"/>
  <c r="D68" i="30" s="1"/>
  <c r="K50" i="30"/>
  <c r="J50" i="30"/>
  <c r="C50" i="30"/>
  <c r="F50" i="30" s="1"/>
  <c r="L50" i="30" s="1"/>
  <c r="K49" i="30"/>
  <c r="N49" i="30" s="1"/>
  <c r="J49" i="30"/>
  <c r="H49" i="30"/>
  <c r="H51" i="30" s="1"/>
  <c r="G49" i="30"/>
  <c r="F49" i="30"/>
  <c r="L49" i="30" s="1"/>
  <c r="C49" i="30"/>
  <c r="B49" i="30" s="1"/>
  <c r="K48" i="30"/>
  <c r="C48" i="30"/>
  <c r="F48" i="30" s="1"/>
  <c r="L48" i="30" s="1"/>
  <c r="K47" i="30"/>
  <c r="N47" i="30" s="1"/>
  <c r="C47" i="30"/>
  <c r="G47" i="30" s="1"/>
  <c r="B47" i="30"/>
  <c r="K46" i="30"/>
  <c r="N46" i="30" s="1"/>
  <c r="G46" i="30"/>
  <c r="C46" i="30"/>
  <c r="F46" i="30" s="1"/>
  <c r="L46" i="30" s="1"/>
  <c r="B46" i="30"/>
  <c r="J45" i="30"/>
  <c r="K45" i="30" s="1"/>
  <c r="N45" i="30" s="1"/>
  <c r="G45" i="30"/>
  <c r="C45" i="30"/>
  <c r="F45" i="30" s="1"/>
  <c r="L45" i="30" s="1"/>
  <c r="B45" i="30"/>
  <c r="N44" i="30"/>
  <c r="K44" i="30"/>
  <c r="G44" i="30"/>
  <c r="F44" i="30"/>
  <c r="L44" i="30" s="1"/>
  <c r="C44" i="30"/>
  <c r="B44" i="30"/>
  <c r="K43" i="30"/>
  <c r="C43" i="30"/>
  <c r="F43" i="30" s="1"/>
  <c r="L43" i="30" s="1"/>
  <c r="K42" i="30"/>
  <c r="C42" i="30"/>
  <c r="G42" i="30" s="1"/>
  <c r="B42" i="30"/>
  <c r="J41" i="30"/>
  <c r="K41" i="30" s="1"/>
  <c r="C41" i="30"/>
  <c r="G41" i="30" s="1"/>
  <c r="J40" i="30"/>
  <c r="J51" i="30" s="1"/>
  <c r="I40" i="30"/>
  <c r="I51" i="30" s="1"/>
  <c r="H40" i="30"/>
  <c r="C40" i="30"/>
  <c r="C51" i="30" s="1"/>
  <c r="H39" i="30"/>
  <c r="H68" i="30" s="1"/>
  <c r="E39" i="30"/>
  <c r="E68" i="30" s="1"/>
  <c r="D39" i="30"/>
  <c r="B39" i="30"/>
  <c r="J38" i="30"/>
  <c r="K38" i="30" s="1"/>
  <c r="N38" i="30" s="1"/>
  <c r="G38" i="30"/>
  <c r="C38" i="30"/>
  <c r="F38" i="30" s="1"/>
  <c r="L38" i="30" s="1"/>
  <c r="N37" i="30"/>
  <c r="L37" i="30"/>
  <c r="K37" i="30"/>
  <c r="J37" i="30"/>
  <c r="G37" i="30"/>
  <c r="F37" i="30"/>
  <c r="C37" i="30"/>
  <c r="K36" i="30"/>
  <c r="C36" i="30"/>
  <c r="G36" i="30" s="1"/>
  <c r="J35" i="30"/>
  <c r="I35" i="30"/>
  <c r="K35" i="30" s="1"/>
  <c r="C35" i="30"/>
  <c r="G35" i="30" s="1"/>
  <c r="J34" i="30"/>
  <c r="I34" i="30"/>
  <c r="I39" i="30" s="1"/>
  <c r="I68" i="30" s="1"/>
  <c r="C34" i="30"/>
  <c r="G34" i="30" s="1"/>
  <c r="L33" i="30"/>
  <c r="K33" i="30"/>
  <c r="C33" i="30"/>
  <c r="G33" i="30" s="1"/>
  <c r="N33" i="30" s="1"/>
  <c r="L32" i="30"/>
  <c r="K32" i="30"/>
  <c r="N32" i="30" s="1"/>
  <c r="G32" i="30"/>
  <c r="C32" i="30"/>
  <c r="K31" i="30"/>
  <c r="C31" i="30"/>
  <c r="G31" i="30" s="1"/>
  <c r="J30" i="30"/>
  <c r="K30" i="30" s="1"/>
  <c r="N30" i="30" s="1"/>
  <c r="G30" i="30"/>
  <c r="F30" i="30"/>
  <c r="L30" i="30" s="1"/>
  <c r="C30" i="30"/>
  <c r="K29" i="30"/>
  <c r="C29" i="30"/>
  <c r="F29" i="30" s="1"/>
  <c r="L29" i="30" s="1"/>
  <c r="K28" i="30"/>
  <c r="N28" i="30" s="1"/>
  <c r="G28" i="30"/>
  <c r="C28" i="30"/>
  <c r="F28" i="30" s="1"/>
  <c r="L28" i="30" s="1"/>
  <c r="K27" i="30"/>
  <c r="C27" i="30"/>
  <c r="G27" i="30" s="1"/>
  <c r="N27" i="30" s="1"/>
  <c r="J26" i="30"/>
  <c r="K26" i="30" s="1"/>
  <c r="I26" i="30"/>
  <c r="C26" i="30"/>
  <c r="F26" i="30" s="1"/>
  <c r="L26" i="30" s="1"/>
  <c r="J25" i="30"/>
  <c r="J39" i="30" s="1"/>
  <c r="I25" i="30"/>
  <c r="C25" i="30"/>
  <c r="G25" i="30" s="1"/>
  <c r="E24" i="30"/>
  <c r="B24" i="30"/>
  <c r="K23" i="30"/>
  <c r="G23" i="30"/>
  <c r="F23" i="30"/>
  <c r="L23" i="30" s="1"/>
  <c r="K22" i="30"/>
  <c r="G22" i="30"/>
  <c r="F22" i="30"/>
  <c r="L22" i="30" s="1"/>
  <c r="K21" i="30"/>
  <c r="F21" i="30"/>
  <c r="L21" i="30" s="1"/>
  <c r="L20" i="30"/>
  <c r="K20" i="30"/>
  <c r="G20" i="30"/>
  <c r="N20" i="30" s="1"/>
  <c r="N19" i="30"/>
  <c r="L19" i="30"/>
  <c r="K19" i="30"/>
  <c r="G19" i="30"/>
  <c r="L18" i="30"/>
  <c r="K18" i="30"/>
  <c r="G18" i="30"/>
  <c r="N18" i="30" s="1"/>
  <c r="K17" i="30"/>
  <c r="G17" i="30"/>
  <c r="N17" i="30" s="1"/>
  <c r="F17" i="30"/>
  <c r="L17" i="30" s="1"/>
  <c r="K16" i="30"/>
  <c r="G16" i="30"/>
  <c r="F16" i="30"/>
  <c r="L16" i="30" s="1"/>
  <c r="K15" i="30"/>
  <c r="G15" i="30"/>
  <c r="N15" i="30" s="1"/>
  <c r="F15" i="30"/>
  <c r="L15" i="30" s="1"/>
  <c r="K14" i="30"/>
  <c r="G14" i="30"/>
  <c r="F14" i="30"/>
  <c r="L14" i="30" s="1"/>
  <c r="K13" i="30"/>
  <c r="G13" i="30"/>
  <c r="F13" i="30"/>
  <c r="L13" i="30" s="1"/>
  <c r="G12" i="30"/>
  <c r="F12" i="30"/>
  <c r="L12" i="30" s="1"/>
  <c r="J24" i="30"/>
  <c r="G11" i="30"/>
  <c r="F11" i="30"/>
  <c r="O26" i="32" l="1"/>
  <c r="K70" i="32"/>
  <c r="C68" i="31"/>
  <c r="K67" i="31"/>
  <c r="M67" i="31" s="1"/>
  <c r="M25" i="31"/>
  <c r="K39" i="31"/>
  <c r="K51" i="31"/>
  <c r="M51" i="31" s="1"/>
  <c r="F39" i="31"/>
  <c r="F68" i="31" s="1"/>
  <c r="G39" i="31"/>
  <c r="G68" i="31" s="1"/>
  <c r="M11" i="31"/>
  <c r="K24" i="31"/>
  <c r="M45" i="31"/>
  <c r="N23" i="30"/>
  <c r="K11" i="30"/>
  <c r="N11" i="30" s="1"/>
  <c r="N14" i="30"/>
  <c r="N13" i="30"/>
  <c r="N22" i="30"/>
  <c r="N16" i="30"/>
  <c r="F24" i="30"/>
  <c r="N41" i="30"/>
  <c r="N35" i="30"/>
  <c r="N36" i="30"/>
  <c r="N42" i="30"/>
  <c r="F51" i="30"/>
  <c r="G24" i="30"/>
  <c r="N21" i="30"/>
  <c r="J68" i="30"/>
  <c r="N31" i="30"/>
  <c r="N53" i="30"/>
  <c r="G29" i="30"/>
  <c r="N29" i="30" s="1"/>
  <c r="K34" i="30"/>
  <c r="N34" i="30" s="1"/>
  <c r="C39" i="30"/>
  <c r="C68" i="30" s="1"/>
  <c r="K40" i="30"/>
  <c r="F47" i="30"/>
  <c r="L47" i="30" s="1"/>
  <c r="G48" i="30"/>
  <c r="N48" i="30" s="1"/>
  <c r="G50" i="30"/>
  <c r="N50" i="30" s="1"/>
  <c r="L11" i="30"/>
  <c r="B40" i="30"/>
  <c r="B43" i="30"/>
  <c r="K66" i="30"/>
  <c r="N66" i="30" s="1"/>
  <c r="F25" i="30"/>
  <c r="F27" i="30"/>
  <c r="L27" i="30" s="1"/>
  <c r="G26" i="30"/>
  <c r="G39" i="30" s="1"/>
  <c r="F31" i="30"/>
  <c r="L31" i="30" s="1"/>
  <c r="F34" i="30"/>
  <c r="L34" i="30" s="1"/>
  <c r="F35" i="30"/>
  <c r="L35" i="30" s="1"/>
  <c r="F36" i="30"/>
  <c r="L36" i="30" s="1"/>
  <c r="G40" i="30"/>
  <c r="F41" i="30"/>
  <c r="L41" i="30" s="1"/>
  <c r="F42" i="30"/>
  <c r="L42" i="30" s="1"/>
  <c r="G43" i="30"/>
  <c r="N43" i="30" s="1"/>
  <c r="K67" i="30"/>
  <c r="N67" i="30" s="1"/>
  <c r="I24" i="30"/>
  <c r="F40" i="30"/>
  <c r="L40" i="30" s="1"/>
  <c r="K56" i="30"/>
  <c r="N56" i="30" s="1"/>
  <c r="B48" i="30"/>
  <c r="B50" i="30"/>
  <c r="K25" i="30"/>
  <c r="J50" i="29"/>
  <c r="N11" i="31" l="1"/>
  <c r="M24" i="31"/>
  <c r="K68" i="31"/>
  <c r="K24" i="30"/>
  <c r="G68" i="30"/>
  <c r="F39" i="30"/>
  <c r="F68" i="30" s="1"/>
  <c r="L25" i="30"/>
  <c r="G51" i="30"/>
  <c r="K51" i="30"/>
  <c r="N51" i="30" s="1"/>
  <c r="N40" i="30"/>
  <c r="N26" i="30"/>
  <c r="N25" i="30"/>
  <c r="K39" i="30"/>
  <c r="K68" i="30" s="1"/>
  <c r="B51" i="30"/>
  <c r="B68" i="30" s="1"/>
  <c r="O11" i="30"/>
  <c r="N24" i="30"/>
  <c r="B24" i="29"/>
  <c r="K23" i="29"/>
  <c r="G23" i="29"/>
  <c r="F23" i="29"/>
  <c r="L23" i="29" s="1"/>
  <c r="C24" i="29"/>
  <c r="E24" i="29"/>
  <c r="D21" i="29"/>
  <c r="D24" i="29" s="1"/>
  <c r="I21" i="29"/>
  <c r="I22" i="29"/>
  <c r="J25" i="29"/>
  <c r="I11" i="29"/>
  <c r="I25" i="29"/>
  <c r="K13" i="29"/>
  <c r="N23" i="29" l="1"/>
  <c r="I24" i="29"/>
  <c r="J22" i="29"/>
  <c r="K22" i="29" s="1"/>
  <c r="I16" i="29"/>
  <c r="J12" i="29"/>
  <c r="J16" i="29"/>
  <c r="H11" i="29"/>
  <c r="I12" i="29"/>
  <c r="K12" i="29" s="1"/>
  <c r="H21" i="29"/>
  <c r="K21" i="29" s="1"/>
  <c r="J11" i="29"/>
  <c r="J24" i="29" s="1"/>
  <c r="H12" i="29"/>
  <c r="I73" i="29"/>
  <c r="I67" i="29"/>
  <c r="H67" i="29"/>
  <c r="G67" i="29"/>
  <c r="F67" i="29"/>
  <c r="E67" i="29"/>
  <c r="D67" i="29"/>
  <c r="C67" i="29"/>
  <c r="B67" i="29"/>
  <c r="J66" i="29"/>
  <c r="J67" i="29" s="1"/>
  <c r="K65" i="29"/>
  <c r="N65" i="29" s="1"/>
  <c r="K64" i="29"/>
  <c r="N64" i="29" s="1"/>
  <c r="K63" i="29"/>
  <c r="N63" i="29" s="1"/>
  <c r="K62" i="29"/>
  <c r="N61" i="29"/>
  <c r="K61" i="29"/>
  <c r="J60" i="29"/>
  <c r="I60" i="29"/>
  <c r="H60" i="29"/>
  <c r="G60" i="29"/>
  <c r="F60" i="29"/>
  <c r="E60" i="29"/>
  <c r="D60" i="29"/>
  <c r="C60" i="29"/>
  <c r="B60" i="29"/>
  <c r="K59" i="29"/>
  <c r="N59" i="29" s="1"/>
  <c r="K58" i="29"/>
  <c r="N58" i="29" s="1"/>
  <c r="K57" i="29"/>
  <c r="N57" i="29" s="1"/>
  <c r="J56" i="29"/>
  <c r="I56" i="29"/>
  <c r="H56" i="29"/>
  <c r="G56" i="29"/>
  <c r="F56" i="29"/>
  <c r="E56" i="29"/>
  <c r="D56" i="29"/>
  <c r="C56" i="29"/>
  <c r="B56" i="29"/>
  <c r="K55" i="29"/>
  <c r="K54" i="29"/>
  <c r="N54" i="29" s="1"/>
  <c r="J53" i="29"/>
  <c r="I53" i="29"/>
  <c r="H53" i="29"/>
  <c r="F53" i="29"/>
  <c r="E53" i="29"/>
  <c r="D53" i="29"/>
  <c r="C53" i="29"/>
  <c r="B53" i="29"/>
  <c r="K52" i="29"/>
  <c r="K53" i="29" s="1"/>
  <c r="G52" i="29"/>
  <c r="G53" i="29" s="1"/>
  <c r="E51" i="29"/>
  <c r="D51" i="29"/>
  <c r="K50" i="29"/>
  <c r="C50" i="29"/>
  <c r="B50" i="29" s="1"/>
  <c r="J49" i="29"/>
  <c r="H49" i="29"/>
  <c r="H51" i="29" s="1"/>
  <c r="C49" i="29"/>
  <c r="F49" i="29" s="1"/>
  <c r="L49" i="29" s="1"/>
  <c r="K48" i="29"/>
  <c r="C48" i="29"/>
  <c r="F48" i="29" s="1"/>
  <c r="L48" i="29" s="1"/>
  <c r="K47" i="29"/>
  <c r="C47" i="29"/>
  <c r="B47" i="29" s="1"/>
  <c r="K46" i="29"/>
  <c r="C46" i="29"/>
  <c r="B46" i="29" s="1"/>
  <c r="J45" i="29"/>
  <c r="K45" i="29" s="1"/>
  <c r="F45" i="29"/>
  <c r="L45" i="29" s="1"/>
  <c r="C45" i="29"/>
  <c r="B45" i="29" s="1"/>
  <c r="K44" i="29"/>
  <c r="C44" i="29"/>
  <c r="B44" i="29" s="1"/>
  <c r="K43" i="29"/>
  <c r="C43" i="29"/>
  <c r="G43" i="29" s="1"/>
  <c r="K42" i="29"/>
  <c r="C42" i="29"/>
  <c r="G42" i="29" s="1"/>
  <c r="N42" i="29" s="1"/>
  <c r="J41" i="29"/>
  <c r="K41" i="29" s="1"/>
  <c r="C41" i="29"/>
  <c r="G41" i="29" s="1"/>
  <c r="J40" i="29"/>
  <c r="I40" i="29"/>
  <c r="I51" i="29" s="1"/>
  <c r="H40" i="29"/>
  <c r="C40" i="29"/>
  <c r="B40" i="29"/>
  <c r="H39" i="29"/>
  <c r="E39" i="29"/>
  <c r="D39" i="29"/>
  <c r="B39" i="29"/>
  <c r="J38" i="29"/>
  <c r="K38" i="29" s="1"/>
  <c r="N38" i="29" s="1"/>
  <c r="C38" i="29"/>
  <c r="G38" i="29" s="1"/>
  <c r="J37" i="29"/>
  <c r="K37" i="29" s="1"/>
  <c r="C37" i="29"/>
  <c r="G37" i="29" s="1"/>
  <c r="K36" i="29"/>
  <c r="C36" i="29"/>
  <c r="G36" i="29" s="1"/>
  <c r="J35" i="29"/>
  <c r="I35" i="29"/>
  <c r="C35" i="29"/>
  <c r="G35" i="29" s="1"/>
  <c r="J34" i="29"/>
  <c r="I34" i="29"/>
  <c r="C34" i="29"/>
  <c r="G34" i="29" s="1"/>
  <c r="L33" i="29"/>
  <c r="K33" i="29"/>
  <c r="C33" i="29"/>
  <c r="G33" i="29" s="1"/>
  <c r="L32" i="29"/>
  <c r="K32" i="29"/>
  <c r="C32" i="29"/>
  <c r="G32" i="29" s="1"/>
  <c r="K31" i="29"/>
  <c r="C31" i="29"/>
  <c r="G31" i="29" s="1"/>
  <c r="N31" i="29" s="1"/>
  <c r="J30" i="29"/>
  <c r="K30" i="29" s="1"/>
  <c r="C30" i="29"/>
  <c r="G30" i="29" s="1"/>
  <c r="K29" i="29"/>
  <c r="C29" i="29"/>
  <c r="F29" i="29" s="1"/>
  <c r="L29" i="29" s="1"/>
  <c r="K28" i="29"/>
  <c r="C28" i="29"/>
  <c r="G28" i="29" s="1"/>
  <c r="K27" i="29"/>
  <c r="C27" i="29"/>
  <c r="G27" i="29" s="1"/>
  <c r="J26" i="29"/>
  <c r="I26" i="29"/>
  <c r="K26" i="29" s="1"/>
  <c r="C26" i="29"/>
  <c r="G26" i="29" s="1"/>
  <c r="C25" i="29"/>
  <c r="G22" i="29"/>
  <c r="F22" i="29"/>
  <c r="L22" i="29" s="1"/>
  <c r="G21" i="29"/>
  <c r="F21" i="29"/>
  <c r="L21" i="29" s="1"/>
  <c r="L20" i="29"/>
  <c r="K20" i="29"/>
  <c r="G20" i="29"/>
  <c r="L19" i="29"/>
  <c r="K19" i="29"/>
  <c r="G19" i="29"/>
  <c r="L18" i="29"/>
  <c r="K18" i="29"/>
  <c r="G18" i="29"/>
  <c r="K17" i="29"/>
  <c r="G17" i="29"/>
  <c r="F17" i="29"/>
  <c r="L17" i="29" s="1"/>
  <c r="G16" i="29"/>
  <c r="F16" i="29"/>
  <c r="L16" i="29" s="1"/>
  <c r="K15" i="29"/>
  <c r="G15" i="29"/>
  <c r="F15" i="29"/>
  <c r="L15" i="29" s="1"/>
  <c r="K14" i="29"/>
  <c r="G14" i="29"/>
  <c r="F14" i="29"/>
  <c r="L14" i="29" s="1"/>
  <c r="G13" i="29"/>
  <c r="N13" i="29" s="1"/>
  <c r="F13" i="29"/>
  <c r="L13" i="29" s="1"/>
  <c r="G12" i="29"/>
  <c r="F12" i="29"/>
  <c r="L12" i="29" s="1"/>
  <c r="G11" i="29"/>
  <c r="F11" i="29"/>
  <c r="G47" i="29" l="1"/>
  <c r="N47" i="29" s="1"/>
  <c r="F24" i="29"/>
  <c r="K35" i="29"/>
  <c r="N35" i="29" s="1"/>
  <c r="G24" i="29"/>
  <c r="J39" i="29"/>
  <c r="J68" i="29" s="1"/>
  <c r="B48" i="29"/>
  <c r="H24" i="29"/>
  <c r="C39" i="29"/>
  <c r="K56" i="29"/>
  <c r="N56" i="29" s="1"/>
  <c r="N28" i="29"/>
  <c r="K34" i="29"/>
  <c r="B43" i="29"/>
  <c r="F34" i="29"/>
  <c r="L34" i="29" s="1"/>
  <c r="G48" i="29"/>
  <c r="N43" i="29"/>
  <c r="F30" i="29"/>
  <c r="L30" i="29" s="1"/>
  <c r="G29" i="29"/>
  <c r="N29" i="29" s="1"/>
  <c r="F31" i="29"/>
  <c r="L31" i="29" s="1"/>
  <c r="F35" i="29"/>
  <c r="L35" i="29" s="1"/>
  <c r="J51" i="29"/>
  <c r="F42" i="29"/>
  <c r="L42" i="29" s="1"/>
  <c r="N48" i="29"/>
  <c r="F50" i="29"/>
  <c r="L50" i="29" s="1"/>
  <c r="N19" i="29"/>
  <c r="N37" i="29"/>
  <c r="K40" i="29"/>
  <c r="N40" i="29" s="1"/>
  <c r="F47" i="29"/>
  <c r="L47" i="29" s="1"/>
  <c r="B49" i="29"/>
  <c r="G50" i="29"/>
  <c r="N50" i="29" s="1"/>
  <c r="N30" i="29"/>
  <c r="C51" i="29"/>
  <c r="F51" i="29" s="1"/>
  <c r="G49" i="29"/>
  <c r="K66" i="29"/>
  <c r="N66" i="29" s="1"/>
  <c r="N20" i="29"/>
  <c r="F28" i="29"/>
  <c r="L28" i="29" s="1"/>
  <c r="F43" i="29"/>
  <c r="L43" i="29" s="1"/>
  <c r="N32" i="29"/>
  <c r="F38" i="29"/>
  <c r="L38" i="29" s="1"/>
  <c r="F25" i="29"/>
  <c r="L25" i="29" s="1"/>
  <c r="N41" i="29"/>
  <c r="N55" i="29"/>
  <c r="N14" i="29"/>
  <c r="I39" i="29"/>
  <c r="I68" i="29" s="1"/>
  <c r="F40" i="29"/>
  <c r="L40" i="29" s="1"/>
  <c r="F41" i="29"/>
  <c r="L41" i="29" s="1"/>
  <c r="N62" i="29"/>
  <c r="N36" i="29"/>
  <c r="G40" i="29"/>
  <c r="N18" i="29"/>
  <c r="F36" i="29"/>
  <c r="L36" i="29" s="1"/>
  <c r="F46" i="29"/>
  <c r="L46" i="29" s="1"/>
  <c r="N33" i="29"/>
  <c r="D68" i="29"/>
  <c r="E68" i="29"/>
  <c r="K16" i="29"/>
  <c r="N16" i="29" s="1"/>
  <c r="N12" i="29"/>
  <c r="N21" i="29"/>
  <c r="N17" i="29"/>
  <c r="N15" i="29"/>
  <c r="L11" i="29"/>
  <c r="K11" i="29"/>
  <c r="N22" i="29"/>
  <c r="N26" i="29"/>
  <c r="N53" i="29"/>
  <c r="N34" i="29"/>
  <c r="H68" i="29"/>
  <c r="N27" i="29"/>
  <c r="G25" i="29"/>
  <c r="F26" i="29"/>
  <c r="L26" i="29" s="1"/>
  <c r="F27" i="29"/>
  <c r="L27" i="29" s="1"/>
  <c r="F37" i="29"/>
  <c r="L37" i="29" s="1"/>
  <c r="B42" i="29"/>
  <c r="B51" i="29" s="1"/>
  <c r="B68" i="29" s="1"/>
  <c r="F44" i="29"/>
  <c r="L44" i="29" s="1"/>
  <c r="G45" i="29"/>
  <c r="N45" i="29" s="1"/>
  <c r="G46" i="29"/>
  <c r="N46" i="29" s="1"/>
  <c r="K49" i="29"/>
  <c r="N49" i="29" s="1"/>
  <c r="N52" i="29"/>
  <c r="G44" i="29"/>
  <c r="N44" i="29" s="1"/>
  <c r="K60" i="29"/>
  <c r="N60" i="29" s="1"/>
  <c r="K25" i="29"/>
  <c r="C40" i="27"/>
  <c r="C68" i="29" l="1"/>
  <c r="K24" i="29"/>
  <c r="G39" i="29"/>
  <c r="G51" i="29"/>
  <c r="G68" i="29" s="1"/>
  <c r="F39" i="29"/>
  <c r="F68" i="29" s="1"/>
  <c r="K67" i="29"/>
  <c r="N67" i="29" s="1"/>
  <c r="K51" i="29"/>
  <c r="N11" i="29"/>
  <c r="N24" i="29" s="1"/>
  <c r="K39" i="29"/>
  <c r="N25" i="29"/>
  <c r="J24" i="27"/>
  <c r="I11" i="27"/>
  <c r="H11" i="27"/>
  <c r="K68" i="29" l="1"/>
  <c r="N51" i="29"/>
  <c r="O11" i="29"/>
  <c r="I24" i="27"/>
  <c r="H39" i="27" l="1"/>
  <c r="C35" i="27"/>
  <c r="J34" i="27"/>
  <c r="J33" i="27"/>
  <c r="I33" i="27"/>
  <c r="J29" i="27"/>
  <c r="J25" i="27" l="1"/>
  <c r="I25" i="27"/>
  <c r="J24" i="28" l="1"/>
  <c r="I24" i="28"/>
  <c r="H24" i="28"/>
  <c r="G24" i="28"/>
  <c r="F24" i="28"/>
  <c r="E24" i="28"/>
  <c r="D24" i="28"/>
  <c r="C24" i="28"/>
  <c r="B24" i="28"/>
  <c r="G57" i="28"/>
  <c r="J52" i="28"/>
  <c r="I52" i="28"/>
  <c r="H52" i="28"/>
  <c r="G52" i="28"/>
  <c r="E52" i="28"/>
  <c r="D52" i="28"/>
  <c r="C52" i="28"/>
  <c r="B52" i="28"/>
  <c r="J40" i="28"/>
  <c r="I40" i="28"/>
  <c r="H40" i="28"/>
  <c r="G40" i="28"/>
  <c r="F40" i="28"/>
  <c r="E40" i="28"/>
  <c r="D40" i="28"/>
  <c r="C40" i="28"/>
  <c r="B40" i="28"/>
  <c r="F52" i="28" l="1"/>
  <c r="C48" i="27"/>
  <c r="C47" i="27"/>
  <c r="C45" i="27"/>
  <c r="C44" i="27"/>
  <c r="C43" i="27"/>
  <c r="C42" i="27"/>
  <c r="C41" i="27"/>
  <c r="C39" i="27"/>
  <c r="C33" i="27"/>
  <c r="C37" i="27"/>
  <c r="C36" i="27"/>
  <c r="C34" i="27"/>
  <c r="C32" i="27"/>
  <c r="C31" i="27"/>
  <c r="C30" i="27"/>
  <c r="C29" i="27"/>
  <c r="C28" i="27"/>
  <c r="C27" i="27"/>
  <c r="C26" i="27"/>
  <c r="C25" i="27"/>
  <c r="C24" i="27"/>
  <c r="J22" i="27" l="1"/>
  <c r="J16" i="27"/>
  <c r="J12" i="27"/>
  <c r="J11" i="27"/>
  <c r="I22" i="27"/>
  <c r="I12" i="27"/>
  <c r="H12" i="27"/>
  <c r="I72" i="27" l="1"/>
  <c r="I66" i="27"/>
  <c r="H66" i="27"/>
  <c r="G66" i="27"/>
  <c r="F66" i="27"/>
  <c r="E66" i="27"/>
  <c r="D66" i="27"/>
  <c r="C66" i="27"/>
  <c r="B66" i="27"/>
  <c r="J65" i="27"/>
  <c r="J66" i="27" s="1"/>
  <c r="K64" i="27"/>
  <c r="N64" i="27" s="1"/>
  <c r="K63" i="27"/>
  <c r="N63" i="27" s="1"/>
  <c r="K62" i="27"/>
  <c r="N62" i="27" s="1"/>
  <c r="K61" i="27"/>
  <c r="N61" i="27" s="1"/>
  <c r="K60" i="27"/>
  <c r="N60" i="27" s="1"/>
  <c r="J59" i="27"/>
  <c r="I59" i="27"/>
  <c r="H59" i="27"/>
  <c r="G59" i="27"/>
  <c r="F59" i="27"/>
  <c r="E59" i="27"/>
  <c r="D59" i="27"/>
  <c r="C59" i="27"/>
  <c r="B59" i="27"/>
  <c r="K58" i="27"/>
  <c r="N58" i="27" s="1"/>
  <c r="K57" i="27"/>
  <c r="N57" i="27" s="1"/>
  <c r="K56" i="27"/>
  <c r="J55" i="27"/>
  <c r="I55" i="27"/>
  <c r="G55" i="27"/>
  <c r="F55" i="27"/>
  <c r="E55" i="27"/>
  <c r="D55" i="27"/>
  <c r="C55" i="27"/>
  <c r="B55" i="27"/>
  <c r="K54" i="27"/>
  <c r="N54" i="27" s="1"/>
  <c r="H55" i="27"/>
  <c r="J52" i="27"/>
  <c r="I52" i="27"/>
  <c r="H52" i="27"/>
  <c r="F52" i="27"/>
  <c r="E52" i="27"/>
  <c r="D52" i="27"/>
  <c r="C52" i="27"/>
  <c r="B52" i="27"/>
  <c r="K51" i="27"/>
  <c r="G51" i="27"/>
  <c r="G52" i="27" s="1"/>
  <c r="E50" i="27"/>
  <c r="D50" i="27"/>
  <c r="J49" i="27"/>
  <c r="K49" i="27" s="1"/>
  <c r="C49" i="27"/>
  <c r="B49" i="27" s="1"/>
  <c r="J48" i="27"/>
  <c r="H48" i="27"/>
  <c r="K48" i="27" s="1"/>
  <c r="G48" i="27"/>
  <c r="B48" i="27"/>
  <c r="K47" i="27"/>
  <c r="G47" i="27"/>
  <c r="F47" i="27"/>
  <c r="L47" i="27" s="1"/>
  <c r="B47" i="27"/>
  <c r="K46" i="27"/>
  <c r="C46" i="27"/>
  <c r="B46" i="27" s="1"/>
  <c r="K45" i="27"/>
  <c r="G45" i="27"/>
  <c r="J44" i="27"/>
  <c r="G44" i="27"/>
  <c r="K43" i="27"/>
  <c r="G43" i="27"/>
  <c r="F43" i="27"/>
  <c r="L43" i="27" s="1"/>
  <c r="B43" i="27"/>
  <c r="K42" i="27"/>
  <c r="G42" i="27"/>
  <c r="F42" i="27"/>
  <c r="L42" i="27" s="1"/>
  <c r="B42" i="27"/>
  <c r="K41" i="27"/>
  <c r="B41" i="27"/>
  <c r="J40" i="27"/>
  <c r="K40" i="27" s="1"/>
  <c r="J39" i="27"/>
  <c r="I39" i="27"/>
  <c r="I50" i="27" s="1"/>
  <c r="G39" i="27"/>
  <c r="F39" i="27"/>
  <c r="L39" i="27" s="1"/>
  <c r="B39" i="27"/>
  <c r="E38" i="27"/>
  <c r="D38" i="27"/>
  <c r="B38" i="27"/>
  <c r="J37" i="27"/>
  <c r="K37" i="27" s="1"/>
  <c r="G37" i="27"/>
  <c r="F37" i="27"/>
  <c r="L37" i="27" s="1"/>
  <c r="J36" i="27"/>
  <c r="K36" i="27" s="1"/>
  <c r="G36" i="27"/>
  <c r="F36" i="27"/>
  <c r="L36" i="27" s="1"/>
  <c r="K35" i="27"/>
  <c r="G35" i="27"/>
  <c r="F35" i="27"/>
  <c r="L35" i="27" s="1"/>
  <c r="I34" i="27"/>
  <c r="G34" i="27"/>
  <c r="F34" i="27"/>
  <c r="L34" i="27" s="1"/>
  <c r="K33" i="27"/>
  <c r="G33" i="27"/>
  <c r="F33" i="27"/>
  <c r="L33" i="27" s="1"/>
  <c r="L32" i="27"/>
  <c r="K32" i="27"/>
  <c r="G32" i="27"/>
  <c r="L31" i="27"/>
  <c r="K31" i="27"/>
  <c r="G31" i="27"/>
  <c r="K30" i="27"/>
  <c r="G30" i="27"/>
  <c r="G29" i="27"/>
  <c r="K28" i="27"/>
  <c r="G28" i="27"/>
  <c r="F28" i="27"/>
  <c r="L28" i="27" s="1"/>
  <c r="K27" i="27"/>
  <c r="G27" i="27"/>
  <c r="K26" i="27"/>
  <c r="G26" i="27"/>
  <c r="F26" i="27"/>
  <c r="L26" i="27" s="1"/>
  <c r="G25" i="27"/>
  <c r="F25" i="27"/>
  <c r="L25" i="27" s="1"/>
  <c r="H38" i="27"/>
  <c r="G24" i="27"/>
  <c r="I23" i="27"/>
  <c r="H23" i="27"/>
  <c r="E23" i="27"/>
  <c r="D23" i="27"/>
  <c r="C23" i="27"/>
  <c r="B23" i="27"/>
  <c r="K22" i="27"/>
  <c r="G22" i="27"/>
  <c r="F22" i="27"/>
  <c r="L22" i="27" s="1"/>
  <c r="K21" i="27"/>
  <c r="G21" i="27"/>
  <c r="F21" i="27"/>
  <c r="L21" i="27" s="1"/>
  <c r="L20" i="27"/>
  <c r="K20" i="27"/>
  <c r="G20" i="27"/>
  <c r="L19" i="27"/>
  <c r="K19" i="27"/>
  <c r="G19" i="27"/>
  <c r="L18" i="27"/>
  <c r="K18" i="27"/>
  <c r="G18" i="27"/>
  <c r="K17" i="27"/>
  <c r="G17" i="27"/>
  <c r="F17" i="27"/>
  <c r="L17" i="27" s="1"/>
  <c r="K16" i="27"/>
  <c r="G16" i="27"/>
  <c r="F16" i="27"/>
  <c r="L16" i="27" s="1"/>
  <c r="K15" i="27"/>
  <c r="G15" i="27"/>
  <c r="F15" i="27"/>
  <c r="L15" i="27" s="1"/>
  <c r="K14" i="27"/>
  <c r="G14" i="27"/>
  <c r="F14" i="27"/>
  <c r="L14" i="27" s="1"/>
  <c r="K13" i="27"/>
  <c r="G13" i="27"/>
  <c r="F13" i="27"/>
  <c r="L13" i="27" s="1"/>
  <c r="K12" i="27"/>
  <c r="G12" i="27"/>
  <c r="F12" i="27"/>
  <c r="L12" i="27" s="1"/>
  <c r="K11" i="27"/>
  <c r="G11" i="27"/>
  <c r="F11" i="27"/>
  <c r="J22" i="26"/>
  <c r="I22" i="26"/>
  <c r="J16" i="26"/>
  <c r="H11" i="26"/>
  <c r="N47" i="27" l="1"/>
  <c r="F49" i="27"/>
  <c r="L49" i="27" s="1"/>
  <c r="G49" i="27"/>
  <c r="K59" i="27"/>
  <c r="N59" i="27" s="1"/>
  <c r="N27" i="27"/>
  <c r="K39" i="27"/>
  <c r="N39" i="27" s="1"/>
  <c r="N16" i="27"/>
  <c r="N19" i="27"/>
  <c r="N33" i="27"/>
  <c r="N51" i="27"/>
  <c r="G46" i="27"/>
  <c r="N46" i="27" s="1"/>
  <c r="N49" i="27"/>
  <c r="J38" i="27"/>
  <c r="N32" i="27"/>
  <c r="K34" i="27"/>
  <c r="N34" i="27" s="1"/>
  <c r="J50" i="27"/>
  <c r="D67" i="27"/>
  <c r="K25" i="27"/>
  <c r="N25" i="27" s="1"/>
  <c r="N28" i="27"/>
  <c r="H50" i="27"/>
  <c r="H67" i="27" s="1"/>
  <c r="F46" i="27"/>
  <c r="L46" i="27" s="1"/>
  <c r="I38" i="27"/>
  <c r="I67" i="27" s="1"/>
  <c r="K29" i="27"/>
  <c r="N29" i="27" s="1"/>
  <c r="K52" i="27"/>
  <c r="N52" i="27" s="1"/>
  <c r="E67" i="27"/>
  <c r="N45" i="27"/>
  <c r="N43" i="27"/>
  <c r="N42" i="27"/>
  <c r="N37" i="27"/>
  <c r="N36" i="27"/>
  <c r="N35" i="27"/>
  <c r="N26" i="27"/>
  <c r="N21" i="27"/>
  <c r="N20" i="27"/>
  <c r="N18" i="27"/>
  <c r="N15" i="27"/>
  <c r="N14" i="27"/>
  <c r="N13" i="27"/>
  <c r="N22" i="27"/>
  <c r="N17" i="27"/>
  <c r="N12" i="27"/>
  <c r="F23" i="27"/>
  <c r="G23" i="27"/>
  <c r="N31" i="27"/>
  <c r="N11" i="27"/>
  <c r="K23" i="27"/>
  <c r="G38" i="27"/>
  <c r="N30" i="27"/>
  <c r="N48" i="27"/>
  <c r="F40" i="27"/>
  <c r="L40" i="27" s="1"/>
  <c r="K44" i="27"/>
  <c r="N44" i="27" s="1"/>
  <c r="K65" i="27"/>
  <c r="N65" i="27" s="1"/>
  <c r="J23" i="27"/>
  <c r="F29" i="27"/>
  <c r="L29" i="27" s="1"/>
  <c r="G40" i="27"/>
  <c r="N40" i="27" s="1"/>
  <c r="G41" i="27"/>
  <c r="N41" i="27" s="1"/>
  <c r="K53" i="27"/>
  <c r="N56" i="27"/>
  <c r="K24" i="27"/>
  <c r="F30" i="27"/>
  <c r="L30" i="27" s="1"/>
  <c r="C38" i="27"/>
  <c r="F48" i="27"/>
  <c r="L48" i="27" s="1"/>
  <c r="C50" i="27"/>
  <c r="F50" i="27" s="1"/>
  <c r="F41" i="27"/>
  <c r="L41" i="27" s="1"/>
  <c r="B44" i="27"/>
  <c r="B45" i="27"/>
  <c r="L11" i="27"/>
  <c r="F24" i="27"/>
  <c r="F27" i="27"/>
  <c r="L27" i="27" s="1"/>
  <c r="F44" i="27"/>
  <c r="L44" i="27" s="1"/>
  <c r="F45" i="27"/>
  <c r="L45" i="27" s="1"/>
  <c r="J12" i="26"/>
  <c r="K16" i="26"/>
  <c r="J11" i="26"/>
  <c r="G12" i="26"/>
  <c r="G84" i="26"/>
  <c r="I84" i="26" s="1"/>
  <c r="J78" i="26"/>
  <c r="I78" i="26"/>
  <c r="H78" i="26"/>
  <c r="G78" i="26"/>
  <c r="F78" i="26"/>
  <c r="E78" i="26"/>
  <c r="D78" i="26"/>
  <c r="C78" i="26"/>
  <c r="B78" i="26"/>
  <c r="J77" i="26"/>
  <c r="K77" i="26" s="1"/>
  <c r="N77" i="26" s="1"/>
  <c r="K76" i="26"/>
  <c r="N76" i="26" s="1"/>
  <c r="K75" i="26"/>
  <c r="N75" i="26" s="1"/>
  <c r="K74" i="26"/>
  <c r="N74" i="26" s="1"/>
  <c r="K73" i="26"/>
  <c r="N73" i="26" s="1"/>
  <c r="K72" i="26"/>
  <c r="N72" i="26" s="1"/>
  <c r="K71" i="26"/>
  <c r="N71" i="26" s="1"/>
  <c r="K70" i="26"/>
  <c r="N70" i="26" s="1"/>
  <c r="J70" i="26"/>
  <c r="I70" i="26"/>
  <c r="H70" i="26"/>
  <c r="G70" i="26"/>
  <c r="F70" i="26"/>
  <c r="E70" i="26"/>
  <c r="D70" i="26"/>
  <c r="C70" i="26"/>
  <c r="B70" i="26"/>
  <c r="N69" i="26"/>
  <c r="K69" i="26"/>
  <c r="K68" i="26"/>
  <c r="N68" i="26" s="1"/>
  <c r="K67" i="26"/>
  <c r="N67" i="26" s="1"/>
  <c r="N66" i="26"/>
  <c r="K66" i="26"/>
  <c r="J65" i="26"/>
  <c r="I65" i="26"/>
  <c r="G65" i="26"/>
  <c r="F65" i="26"/>
  <c r="E65" i="26"/>
  <c r="D65" i="26"/>
  <c r="C65" i="26"/>
  <c r="B65" i="26"/>
  <c r="K64" i="26"/>
  <c r="N64" i="26" s="1"/>
  <c r="K63" i="26"/>
  <c r="N63" i="26" s="1"/>
  <c r="K62" i="26"/>
  <c r="N62" i="26" s="1"/>
  <c r="K61" i="26"/>
  <c r="N61" i="26" s="1"/>
  <c r="K60" i="26"/>
  <c r="N60" i="26" s="1"/>
  <c r="K59" i="26"/>
  <c r="K65" i="26" s="1"/>
  <c r="N65" i="26" s="1"/>
  <c r="H59" i="26"/>
  <c r="H65" i="26" s="1"/>
  <c r="J58" i="26"/>
  <c r="I58" i="26"/>
  <c r="H58" i="26"/>
  <c r="F58" i="26"/>
  <c r="E58" i="26"/>
  <c r="D58" i="26"/>
  <c r="C58" i="26"/>
  <c r="B58" i="26"/>
  <c r="K57" i="26"/>
  <c r="N57" i="26" s="1"/>
  <c r="G57" i="26"/>
  <c r="G58" i="26" s="1"/>
  <c r="N56" i="26"/>
  <c r="K56" i="26"/>
  <c r="N55" i="26"/>
  <c r="K55" i="26"/>
  <c r="K54" i="26"/>
  <c r="K58" i="26" s="1"/>
  <c r="J53" i="26"/>
  <c r="I53" i="26"/>
  <c r="E53" i="26"/>
  <c r="D53" i="26"/>
  <c r="J52" i="26"/>
  <c r="K52" i="26" s="1"/>
  <c r="C52" i="26"/>
  <c r="G52" i="26" s="1"/>
  <c r="B52" i="26"/>
  <c r="J51" i="26"/>
  <c r="H51" i="26"/>
  <c r="K51" i="26" s="1"/>
  <c r="C51" i="26"/>
  <c r="F51" i="26" s="1"/>
  <c r="L51" i="26" s="1"/>
  <c r="B51" i="26"/>
  <c r="K50" i="26"/>
  <c r="C50" i="26"/>
  <c r="G50" i="26" s="1"/>
  <c r="N50" i="26" s="1"/>
  <c r="B50" i="26"/>
  <c r="L49" i="26"/>
  <c r="K49" i="26"/>
  <c r="F49" i="26"/>
  <c r="C49" i="26"/>
  <c r="G49" i="26" s="1"/>
  <c r="N49" i="26" s="1"/>
  <c r="B49" i="26"/>
  <c r="K48" i="26"/>
  <c r="C48" i="26"/>
  <c r="G48" i="26" s="1"/>
  <c r="N48" i="26" s="1"/>
  <c r="K47" i="26"/>
  <c r="J47" i="26"/>
  <c r="C47" i="26"/>
  <c r="G47" i="26" s="1"/>
  <c r="K46" i="26"/>
  <c r="N46" i="26" s="1"/>
  <c r="G46" i="26"/>
  <c r="C46" i="26"/>
  <c r="F46" i="26" s="1"/>
  <c r="L46" i="26" s="1"/>
  <c r="L45" i="26"/>
  <c r="K45" i="26"/>
  <c r="N45" i="26" s="1"/>
  <c r="G45" i="26"/>
  <c r="F45" i="26"/>
  <c r="C45" i="26"/>
  <c r="B45" i="26"/>
  <c r="K44" i="26"/>
  <c r="N44" i="26" s="1"/>
  <c r="G44" i="26"/>
  <c r="F44" i="26"/>
  <c r="L44" i="26" s="1"/>
  <c r="C44" i="26"/>
  <c r="B44" i="26" s="1"/>
  <c r="J43" i="26"/>
  <c r="K43" i="26" s="1"/>
  <c r="N43" i="26" s="1"/>
  <c r="G43" i="26"/>
  <c r="F43" i="26"/>
  <c r="L43" i="26" s="1"/>
  <c r="C43" i="26"/>
  <c r="B43" i="26" s="1"/>
  <c r="J42" i="26"/>
  <c r="I42" i="26"/>
  <c r="H42" i="26"/>
  <c r="H53" i="26" s="1"/>
  <c r="G42" i="26"/>
  <c r="C42" i="26"/>
  <c r="F42" i="26" s="1"/>
  <c r="L42" i="26" s="1"/>
  <c r="B42" i="26"/>
  <c r="E41" i="26"/>
  <c r="E79" i="26" s="1"/>
  <c r="D41" i="26"/>
  <c r="D79" i="26" s="1"/>
  <c r="B41" i="26"/>
  <c r="J40" i="26"/>
  <c r="K40" i="26" s="1"/>
  <c r="N40" i="26" s="1"/>
  <c r="E40" i="26"/>
  <c r="F40" i="26" s="1"/>
  <c r="L40" i="26" s="1"/>
  <c r="C40" i="26"/>
  <c r="G40" i="26" s="1"/>
  <c r="J39" i="26"/>
  <c r="K39" i="26" s="1"/>
  <c r="C39" i="26"/>
  <c r="G39" i="26" s="1"/>
  <c r="N38" i="26"/>
  <c r="L38" i="26"/>
  <c r="K38" i="26"/>
  <c r="G38" i="26"/>
  <c r="F38" i="26"/>
  <c r="J37" i="26"/>
  <c r="I37" i="26"/>
  <c r="K37" i="26" s="1"/>
  <c r="N37" i="26" s="1"/>
  <c r="G37" i="26"/>
  <c r="C37" i="26"/>
  <c r="F37" i="26" s="1"/>
  <c r="L37" i="26" s="1"/>
  <c r="J36" i="26"/>
  <c r="K36" i="26" s="1"/>
  <c r="N36" i="26" s="1"/>
  <c r="G36" i="26"/>
  <c r="F36" i="26"/>
  <c r="L36" i="26" s="1"/>
  <c r="C36" i="26"/>
  <c r="L35" i="26"/>
  <c r="K35" i="26"/>
  <c r="C35" i="26"/>
  <c r="G35" i="26" s="1"/>
  <c r="N35" i="26" s="1"/>
  <c r="N34" i="26"/>
  <c r="L34" i="26"/>
  <c r="K34" i="26"/>
  <c r="G34" i="26"/>
  <c r="C34" i="26"/>
  <c r="L33" i="26"/>
  <c r="K33" i="26"/>
  <c r="N33" i="26" s="1"/>
  <c r="G33" i="26"/>
  <c r="C33" i="26"/>
  <c r="K32" i="26"/>
  <c r="C32" i="26"/>
  <c r="F32" i="26" s="1"/>
  <c r="L32" i="26" s="1"/>
  <c r="K31" i="26"/>
  <c r="N31" i="26" s="1"/>
  <c r="J31" i="26"/>
  <c r="I31" i="26"/>
  <c r="C31" i="26"/>
  <c r="G31" i="26" s="1"/>
  <c r="K30" i="26"/>
  <c r="C30" i="26"/>
  <c r="C41" i="26" s="1"/>
  <c r="L29" i="26"/>
  <c r="K29" i="26"/>
  <c r="F29" i="26"/>
  <c r="C29" i="26"/>
  <c r="G29" i="26" s="1"/>
  <c r="N29" i="26" s="1"/>
  <c r="L28" i="26"/>
  <c r="K28" i="26"/>
  <c r="N28" i="26" s="1"/>
  <c r="G28" i="26"/>
  <c r="F28" i="26"/>
  <c r="C28" i="26"/>
  <c r="J27" i="26"/>
  <c r="I27" i="26"/>
  <c r="K27" i="26" s="1"/>
  <c r="N27" i="26" s="1"/>
  <c r="G27" i="26"/>
  <c r="F27" i="26"/>
  <c r="L27" i="26" s="1"/>
  <c r="C27" i="26"/>
  <c r="J26" i="26"/>
  <c r="J41" i="26" s="1"/>
  <c r="J79" i="26" s="1"/>
  <c r="I26" i="26"/>
  <c r="K26" i="26" s="1"/>
  <c r="H26" i="26"/>
  <c r="H41" i="26" s="1"/>
  <c r="F26" i="26"/>
  <c r="C26" i="26"/>
  <c r="G26" i="26" s="1"/>
  <c r="E25" i="26"/>
  <c r="D25" i="26"/>
  <c r="C25" i="26"/>
  <c r="B25" i="26"/>
  <c r="N24" i="26"/>
  <c r="K24" i="26"/>
  <c r="G24" i="26"/>
  <c r="F24" i="26"/>
  <c r="L24" i="26" s="1"/>
  <c r="L23" i="26"/>
  <c r="K23" i="26"/>
  <c r="N23" i="26" s="1"/>
  <c r="G23" i="26"/>
  <c r="F23" i="26"/>
  <c r="G22" i="26"/>
  <c r="F22" i="26"/>
  <c r="L22" i="26" s="1"/>
  <c r="K21" i="26"/>
  <c r="G21" i="26"/>
  <c r="N21" i="26" s="1"/>
  <c r="F21" i="26"/>
  <c r="L21" i="26" s="1"/>
  <c r="L20" i="26"/>
  <c r="K20" i="26"/>
  <c r="G20" i="26"/>
  <c r="L19" i="26"/>
  <c r="K19" i="26"/>
  <c r="N19" i="26" s="1"/>
  <c r="G19" i="26"/>
  <c r="L18" i="26"/>
  <c r="K18" i="26"/>
  <c r="G18" i="26"/>
  <c r="K17" i="26"/>
  <c r="G17" i="26"/>
  <c r="F17" i="26"/>
  <c r="L17" i="26" s="1"/>
  <c r="G16" i="26"/>
  <c r="F16" i="26"/>
  <c r="L16" i="26" s="1"/>
  <c r="L15" i="26"/>
  <c r="K15" i="26"/>
  <c r="G15" i="26"/>
  <c r="F15" i="26"/>
  <c r="K14" i="26"/>
  <c r="G14" i="26"/>
  <c r="F14" i="26"/>
  <c r="L14" i="26" s="1"/>
  <c r="K13" i="26"/>
  <c r="G13" i="26"/>
  <c r="N13" i="26" s="1"/>
  <c r="F13" i="26"/>
  <c r="L13" i="26" s="1"/>
  <c r="F12" i="26"/>
  <c r="L12" i="26" s="1"/>
  <c r="H25" i="26"/>
  <c r="G11" i="26"/>
  <c r="F11" i="26"/>
  <c r="J22" i="25"/>
  <c r="J16" i="25"/>
  <c r="J12" i="25"/>
  <c r="H25" i="25"/>
  <c r="D25" i="25"/>
  <c r="C25" i="25"/>
  <c r="E25" i="25"/>
  <c r="J67" i="27" l="1"/>
  <c r="B50" i="27"/>
  <c r="B67" i="27" s="1"/>
  <c r="C67" i="27"/>
  <c r="G50" i="27"/>
  <c r="G67" i="27" s="1"/>
  <c r="O11" i="27"/>
  <c r="F38" i="27"/>
  <c r="F67" i="27" s="1"/>
  <c r="L24" i="27"/>
  <c r="K55" i="27"/>
  <c r="N55" i="27" s="1"/>
  <c r="N53" i="27"/>
  <c r="N24" i="27"/>
  <c r="O24" i="27" s="1"/>
  <c r="K38" i="27"/>
  <c r="K66" i="27"/>
  <c r="N66" i="27" s="1"/>
  <c r="K50" i="27"/>
  <c r="K22" i="26"/>
  <c r="N22" i="26" s="1"/>
  <c r="J25" i="26"/>
  <c r="I25" i="26"/>
  <c r="N16" i="26"/>
  <c r="N20" i="26"/>
  <c r="N18" i="26"/>
  <c r="N14" i="26"/>
  <c r="N17" i="26"/>
  <c r="N15" i="26"/>
  <c r="F25" i="26"/>
  <c r="G25" i="26"/>
  <c r="L11" i="26"/>
  <c r="F41" i="26"/>
  <c r="F79" i="26" s="1"/>
  <c r="B79" i="26"/>
  <c r="H79" i="26"/>
  <c r="B53" i="26"/>
  <c r="C79" i="26"/>
  <c r="N58" i="26"/>
  <c r="N39" i="26"/>
  <c r="N47" i="26"/>
  <c r="N26" i="26"/>
  <c r="K41" i="26"/>
  <c r="N52" i="26"/>
  <c r="F53" i="26"/>
  <c r="I41" i="26"/>
  <c r="I79" i="26" s="1"/>
  <c r="C53" i="26"/>
  <c r="N59" i="26"/>
  <c r="K11" i="26"/>
  <c r="L26" i="26"/>
  <c r="F30" i="26"/>
  <c r="L30" i="26" s="1"/>
  <c r="G32" i="26"/>
  <c r="N32" i="26" s="1"/>
  <c r="F39" i="26"/>
  <c r="L39" i="26" s="1"/>
  <c r="K42" i="26"/>
  <c r="B47" i="26"/>
  <c r="B48" i="26"/>
  <c r="F50" i="26"/>
  <c r="L50" i="26" s="1"/>
  <c r="G51" i="26"/>
  <c r="G53" i="26" s="1"/>
  <c r="F52" i="26"/>
  <c r="L52" i="26" s="1"/>
  <c r="K78" i="26"/>
  <c r="N78" i="26" s="1"/>
  <c r="K12" i="26"/>
  <c r="N12" i="26" s="1"/>
  <c r="G30" i="26"/>
  <c r="G41" i="26" s="1"/>
  <c r="G79" i="26" s="1"/>
  <c r="B46" i="26"/>
  <c r="F47" i="26"/>
  <c r="L47" i="26" s="1"/>
  <c r="F48" i="26"/>
  <c r="L48" i="26" s="1"/>
  <c r="N54" i="26"/>
  <c r="F31" i="26"/>
  <c r="L31" i="26" s="1"/>
  <c r="J11" i="25"/>
  <c r="H11" i="25"/>
  <c r="N50" i="27" l="1"/>
  <c r="K67" i="27"/>
  <c r="P29" i="27"/>
  <c r="K53" i="26"/>
  <c r="N53" i="26" s="1"/>
  <c r="N42" i="26"/>
  <c r="N51" i="26"/>
  <c r="K25" i="26"/>
  <c r="N25" i="26" s="1"/>
  <c r="N11" i="26"/>
  <c r="N30" i="26"/>
  <c r="K79" i="26"/>
  <c r="N41" i="26"/>
  <c r="O26" i="26"/>
  <c r="P31" i="26"/>
  <c r="J25" i="25"/>
  <c r="I25" i="25"/>
  <c r="B25" i="25"/>
  <c r="K24" i="25"/>
  <c r="F24" i="25"/>
  <c r="L24" i="25" s="1"/>
  <c r="K23" i="25"/>
  <c r="G23" i="25"/>
  <c r="F23" i="25"/>
  <c r="L23" i="25" s="1"/>
  <c r="K22" i="25"/>
  <c r="G22" i="25"/>
  <c r="K21" i="25"/>
  <c r="F21" i="25"/>
  <c r="L21" i="25" s="1"/>
  <c r="G21" i="25"/>
  <c r="L20" i="25"/>
  <c r="K20" i="25"/>
  <c r="G20" i="25"/>
  <c r="L19" i="25"/>
  <c r="K19" i="25"/>
  <c r="G19" i="25"/>
  <c r="L18" i="25"/>
  <c r="K18" i="25"/>
  <c r="G18" i="25"/>
  <c r="K17" i="25"/>
  <c r="G17" i="25"/>
  <c r="K16" i="25"/>
  <c r="G16" i="25"/>
  <c r="F16" i="25"/>
  <c r="L16" i="25" s="1"/>
  <c r="K15" i="25"/>
  <c r="G15" i="25"/>
  <c r="F15" i="25"/>
  <c r="L15" i="25" s="1"/>
  <c r="K14" i="25"/>
  <c r="G14" i="25"/>
  <c r="K13" i="25"/>
  <c r="G13" i="25"/>
  <c r="K12" i="25"/>
  <c r="G12" i="25"/>
  <c r="F11" i="25"/>
  <c r="G84" i="25"/>
  <c r="I84" i="25" s="1"/>
  <c r="I78" i="25"/>
  <c r="H78" i="25"/>
  <c r="G78" i="25"/>
  <c r="F78" i="25"/>
  <c r="E78" i="25"/>
  <c r="D78" i="25"/>
  <c r="C78" i="25"/>
  <c r="B78" i="25"/>
  <c r="K77" i="25"/>
  <c r="N77" i="25" s="1"/>
  <c r="J77" i="25"/>
  <c r="J78" i="25" s="1"/>
  <c r="K76" i="25"/>
  <c r="N76" i="25" s="1"/>
  <c r="K75" i="25"/>
  <c r="N75" i="25" s="1"/>
  <c r="K74" i="25"/>
  <c r="N74" i="25" s="1"/>
  <c r="K73" i="25"/>
  <c r="N73" i="25" s="1"/>
  <c r="K72" i="25"/>
  <c r="N72" i="25" s="1"/>
  <c r="K71" i="25"/>
  <c r="N71" i="25" s="1"/>
  <c r="J70" i="25"/>
  <c r="I70" i="25"/>
  <c r="H70" i="25"/>
  <c r="G70" i="25"/>
  <c r="F70" i="25"/>
  <c r="E70" i="25"/>
  <c r="D70" i="25"/>
  <c r="C70" i="25"/>
  <c r="B70" i="25"/>
  <c r="K69" i="25"/>
  <c r="N69" i="25" s="1"/>
  <c r="K68" i="25"/>
  <c r="N68" i="25" s="1"/>
  <c r="K67" i="25"/>
  <c r="N67" i="25" s="1"/>
  <c r="N66" i="25"/>
  <c r="K66" i="25"/>
  <c r="K70" i="25" s="1"/>
  <c r="N70" i="25" s="1"/>
  <c r="J65" i="25"/>
  <c r="I65" i="25"/>
  <c r="G65" i="25"/>
  <c r="F65" i="25"/>
  <c r="E65" i="25"/>
  <c r="D65" i="25"/>
  <c r="C65" i="25"/>
  <c r="B65" i="25"/>
  <c r="K64" i="25"/>
  <c r="N64" i="25" s="1"/>
  <c r="K63" i="25"/>
  <c r="N63" i="25" s="1"/>
  <c r="K62" i="25"/>
  <c r="N62" i="25" s="1"/>
  <c r="K61" i="25"/>
  <c r="N61" i="25" s="1"/>
  <c r="K60" i="25"/>
  <c r="N60" i="25" s="1"/>
  <c r="K59" i="25"/>
  <c r="H59" i="25"/>
  <c r="H65" i="25" s="1"/>
  <c r="J58" i="25"/>
  <c r="I58" i="25"/>
  <c r="H58" i="25"/>
  <c r="F58" i="25"/>
  <c r="E58" i="25"/>
  <c r="D58" i="25"/>
  <c r="C58" i="25"/>
  <c r="B58" i="25"/>
  <c r="K57" i="25"/>
  <c r="G57" i="25"/>
  <c r="G58" i="25" s="1"/>
  <c r="K56" i="25"/>
  <c r="N56" i="25" s="1"/>
  <c r="K55" i="25"/>
  <c r="N55" i="25" s="1"/>
  <c r="N54" i="25"/>
  <c r="K54" i="25"/>
  <c r="E53" i="25"/>
  <c r="D53" i="25"/>
  <c r="J52" i="25"/>
  <c r="K52" i="25" s="1"/>
  <c r="G52" i="25"/>
  <c r="F52" i="25"/>
  <c r="L52" i="25" s="1"/>
  <c r="C52" i="25"/>
  <c r="B52" i="25" s="1"/>
  <c r="J51" i="25"/>
  <c r="H51" i="25"/>
  <c r="K51" i="25" s="1"/>
  <c r="C51" i="25"/>
  <c r="B51" i="25" s="1"/>
  <c r="K50" i="25"/>
  <c r="G50" i="25"/>
  <c r="F50" i="25"/>
  <c r="L50" i="25" s="1"/>
  <c r="C50" i="25"/>
  <c r="B50" i="25" s="1"/>
  <c r="K49" i="25"/>
  <c r="G49" i="25"/>
  <c r="N49" i="25" s="1"/>
  <c r="C49" i="25"/>
  <c r="F49" i="25" s="1"/>
  <c r="L49" i="25" s="1"/>
  <c r="K48" i="25"/>
  <c r="C48" i="25"/>
  <c r="G48" i="25" s="1"/>
  <c r="N48" i="25" s="1"/>
  <c r="J47" i="25"/>
  <c r="K47" i="25" s="1"/>
  <c r="C47" i="25"/>
  <c r="G47" i="25" s="1"/>
  <c r="B47" i="25"/>
  <c r="K46" i="25"/>
  <c r="C46" i="25"/>
  <c r="G46" i="25" s="1"/>
  <c r="K45" i="25"/>
  <c r="G45" i="25"/>
  <c r="F45" i="25"/>
  <c r="L45" i="25" s="1"/>
  <c r="C45" i="25"/>
  <c r="B45" i="25"/>
  <c r="K44" i="25"/>
  <c r="G44" i="25"/>
  <c r="N44" i="25" s="1"/>
  <c r="F44" i="25"/>
  <c r="L44" i="25" s="1"/>
  <c r="C44" i="25"/>
  <c r="B44" i="25" s="1"/>
  <c r="J43" i="25"/>
  <c r="K43" i="25" s="1"/>
  <c r="C43" i="25"/>
  <c r="B43" i="25" s="1"/>
  <c r="J42" i="25"/>
  <c r="J53" i="25" s="1"/>
  <c r="I42" i="25"/>
  <c r="I53" i="25" s="1"/>
  <c r="H42" i="25"/>
  <c r="C42" i="25"/>
  <c r="G42" i="25" s="1"/>
  <c r="E41" i="25"/>
  <c r="D41" i="25"/>
  <c r="B41" i="25"/>
  <c r="J40" i="25"/>
  <c r="K40" i="25" s="1"/>
  <c r="E40" i="25"/>
  <c r="C40" i="25"/>
  <c r="J39" i="25"/>
  <c r="K39" i="25" s="1"/>
  <c r="G39" i="25"/>
  <c r="F39" i="25"/>
  <c r="L39" i="25" s="1"/>
  <c r="C39" i="25"/>
  <c r="L38" i="25"/>
  <c r="K38" i="25"/>
  <c r="N38" i="25" s="1"/>
  <c r="G38" i="25"/>
  <c r="F38" i="25"/>
  <c r="J37" i="25"/>
  <c r="I37" i="25"/>
  <c r="K37" i="25" s="1"/>
  <c r="C37" i="25"/>
  <c r="G37" i="25" s="1"/>
  <c r="L36" i="25"/>
  <c r="J36" i="25"/>
  <c r="K36" i="25" s="1"/>
  <c r="G36" i="25"/>
  <c r="F36" i="25"/>
  <c r="C36" i="25"/>
  <c r="L35" i="25"/>
  <c r="K35" i="25"/>
  <c r="C35" i="25"/>
  <c r="G35" i="25" s="1"/>
  <c r="L34" i="25"/>
  <c r="K34" i="25"/>
  <c r="N34" i="25" s="1"/>
  <c r="G34" i="25"/>
  <c r="C34" i="25"/>
  <c r="L33" i="25"/>
  <c r="K33" i="25"/>
  <c r="C33" i="25"/>
  <c r="G33" i="25" s="1"/>
  <c r="K32" i="25"/>
  <c r="C32" i="25"/>
  <c r="G32" i="25" s="1"/>
  <c r="J31" i="25"/>
  <c r="I31" i="25"/>
  <c r="K31" i="25" s="1"/>
  <c r="F31" i="25"/>
  <c r="L31" i="25" s="1"/>
  <c r="C31" i="25"/>
  <c r="G31" i="25" s="1"/>
  <c r="K30" i="25"/>
  <c r="G30" i="25"/>
  <c r="F30" i="25"/>
  <c r="L30" i="25" s="1"/>
  <c r="C30" i="25"/>
  <c r="K29" i="25"/>
  <c r="F29" i="25"/>
  <c r="L29" i="25" s="1"/>
  <c r="C29" i="25"/>
  <c r="G29" i="25" s="1"/>
  <c r="K28" i="25"/>
  <c r="G28" i="25"/>
  <c r="F28" i="25"/>
  <c r="L28" i="25" s="1"/>
  <c r="C28" i="25"/>
  <c r="J27" i="25"/>
  <c r="I27" i="25"/>
  <c r="K27" i="25" s="1"/>
  <c r="G27" i="25"/>
  <c r="C27" i="25"/>
  <c r="F27" i="25" s="1"/>
  <c r="L27" i="25" s="1"/>
  <c r="J26" i="25"/>
  <c r="J41" i="25" s="1"/>
  <c r="I26" i="25"/>
  <c r="I41" i="25" s="1"/>
  <c r="I79" i="25" s="1"/>
  <c r="H26" i="25"/>
  <c r="H41" i="25" s="1"/>
  <c r="C26" i="25"/>
  <c r="G26" i="25" s="1"/>
  <c r="O11" i="26" l="1"/>
  <c r="N20" i="25"/>
  <c r="J79" i="25"/>
  <c r="N28" i="25"/>
  <c r="N30" i="25"/>
  <c r="F43" i="25"/>
  <c r="L43" i="25" s="1"/>
  <c r="N50" i="25"/>
  <c r="N52" i="25"/>
  <c r="N29" i="25"/>
  <c r="N35" i="25"/>
  <c r="D79" i="25"/>
  <c r="G43" i="25"/>
  <c r="N43" i="25" s="1"/>
  <c r="F47" i="25"/>
  <c r="L47" i="25" s="1"/>
  <c r="F48" i="25"/>
  <c r="L48" i="25" s="1"/>
  <c r="E79" i="25"/>
  <c r="N36" i="25"/>
  <c r="N33" i="25"/>
  <c r="N27" i="25"/>
  <c r="N57" i="25"/>
  <c r="F26" i="25"/>
  <c r="L26" i="25" s="1"/>
  <c r="N39" i="25"/>
  <c r="H53" i="25"/>
  <c r="N45" i="25"/>
  <c r="K58" i="25"/>
  <c r="N58" i="25" s="1"/>
  <c r="N40" i="25"/>
  <c r="G41" i="25"/>
  <c r="G40" i="25"/>
  <c r="B48" i="25"/>
  <c r="K65" i="25"/>
  <c r="N65" i="25" s="1"/>
  <c r="N32" i="25"/>
  <c r="N19" i="25"/>
  <c r="N17" i="25"/>
  <c r="K11" i="25"/>
  <c r="K25" i="25" s="1"/>
  <c r="G24" i="25"/>
  <c r="N24" i="25" s="1"/>
  <c r="N23" i="25"/>
  <c r="N16" i="25"/>
  <c r="N15" i="25"/>
  <c r="F13" i="25"/>
  <c r="L13" i="25" s="1"/>
  <c r="F12" i="25"/>
  <c r="L12" i="25" s="1"/>
  <c r="N14" i="25"/>
  <c r="N12" i="25"/>
  <c r="L11" i="25"/>
  <c r="N18" i="25"/>
  <c r="N22" i="25"/>
  <c r="N13" i="25"/>
  <c r="N21" i="25"/>
  <c r="F14" i="25"/>
  <c r="L14" i="25" s="1"/>
  <c r="G11" i="25"/>
  <c r="G25" i="25" s="1"/>
  <c r="F22" i="25"/>
  <c r="L22" i="25" s="1"/>
  <c r="F17" i="25"/>
  <c r="L17" i="25" s="1"/>
  <c r="N37" i="25"/>
  <c r="H79" i="25"/>
  <c r="N31" i="25"/>
  <c r="N47" i="25"/>
  <c r="N46" i="25"/>
  <c r="K26" i="25"/>
  <c r="F32" i="25"/>
  <c r="L32" i="25" s="1"/>
  <c r="C41" i="25"/>
  <c r="B49" i="25"/>
  <c r="F51" i="25"/>
  <c r="L51" i="25" s="1"/>
  <c r="C53" i="25"/>
  <c r="F53" i="25" s="1"/>
  <c r="N59" i="25"/>
  <c r="F40" i="25"/>
  <c r="L40" i="25" s="1"/>
  <c r="K42" i="25"/>
  <c r="G51" i="25"/>
  <c r="N51" i="25" s="1"/>
  <c r="K78" i="25"/>
  <c r="N78" i="25" s="1"/>
  <c r="B42" i="25"/>
  <c r="B46" i="25"/>
  <c r="F37" i="25"/>
  <c r="L37" i="25" s="1"/>
  <c r="F42" i="25"/>
  <c r="L42" i="25" s="1"/>
  <c r="F46" i="25"/>
  <c r="L46" i="25" s="1"/>
  <c r="G53" i="25" l="1"/>
  <c r="G79" i="25" s="1"/>
  <c r="C79" i="25"/>
  <c r="N11" i="25"/>
  <c r="N25" i="25"/>
  <c r="F25" i="25"/>
  <c r="B53" i="25"/>
  <c r="B79" i="25" s="1"/>
  <c r="N42" i="25"/>
  <c r="K53" i="25"/>
  <c r="F41" i="25"/>
  <c r="F79" i="25" s="1"/>
  <c r="N26" i="25"/>
  <c r="K41" i="25"/>
  <c r="G69" i="21"/>
  <c r="J62" i="21"/>
  <c r="H44" i="21"/>
  <c r="J24" i="21"/>
  <c r="K24" i="21" s="1"/>
  <c r="J25" i="21"/>
  <c r="K25" i="21" s="1"/>
  <c r="E25" i="21"/>
  <c r="C25" i="21"/>
  <c r="C24" i="21"/>
  <c r="F24" i="21" s="1"/>
  <c r="L24" i="21" s="1"/>
  <c r="K23" i="21"/>
  <c r="G23" i="21"/>
  <c r="F23" i="21"/>
  <c r="L23" i="21" s="1"/>
  <c r="J21" i="21"/>
  <c r="J11" i="21"/>
  <c r="I22" i="21"/>
  <c r="N53" i="25" l="1"/>
  <c r="P16" i="25"/>
  <c r="O11" i="25"/>
  <c r="K79" i="25"/>
  <c r="N41" i="25"/>
  <c r="P31" i="25"/>
  <c r="O26" i="25"/>
  <c r="N23" i="21"/>
  <c r="G24" i="21"/>
  <c r="N24" i="21" s="1"/>
  <c r="F25" i="21"/>
  <c r="L25" i="21" s="1"/>
  <c r="G25" i="21"/>
  <c r="N25" i="21" s="1"/>
  <c r="J22" i="21"/>
  <c r="J16" i="21"/>
  <c r="I12" i="21"/>
  <c r="K21" i="21" l="1"/>
  <c r="J36" i="21"/>
  <c r="C36" i="21"/>
  <c r="G36" i="21" s="1"/>
  <c r="H36" i="21"/>
  <c r="C32" i="21"/>
  <c r="B32" i="21" s="1"/>
  <c r="I11" i="21"/>
  <c r="J37" i="21"/>
  <c r="J27" i="21"/>
  <c r="I27" i="21"/>
  <c r="H27" i="21"/>
  <c r="C35" i="21"/>
  <c r="B35" i="21" s="1"/>
  <c r="C28" i="21"/>
  <c r="B28" i="21" s="1"/>
  <c r="B36" i="21" l="1"/>
  <c r="I16" i="21"/>
  <c r="J12" i="21"/>
  <c r="I38" i="21" l="1"/>
  <c r="H38" i="21"/>
  <c r="H11" i="21"/>
  <c r="H26" i="21" s="1"/>
  <c r="C22" i="21"/>
  <c r="G22" i="21" s="1"/>
  <c r="C21" i="21"/>
  <c r="C20" i="21"/>
  <c r="G20" i="21" s="1"/>
  <c r="C19" i="21"/>
  <c r="G19" i="21" s="1"/>
  <c r="C18" i="21"/>
  <c r="C17" i="21"/>
  <c r="G17" i="21" s="1"/>
  <c r="C16" i="21"/>
  <c r="F16" i="21" s="1"/>
  <c r="L16" i="21" s="1"/>
  <c r="C15" i="21"/>
  <c r="G15" i="21" s="1"/>
  <c r="C14" i="21"/>
  <c r="G14" i="21" s="1"/>
  <c r="C13" i="21"/>
  <c r="G13" i="21" s="1"/>
  <c r="C12" i="21"/>
  <c r="F12" i="21" s="1"/>
  <c r="L12" i="21" s="1"/>
  <c r="C11" i="21"/>
  <c r="F11" i="21" s="1"/>
  <c r="L11" i="21" s="1"/>
  <c r="I69" i="21"/>
  <c r="J63" i="21"/>
  <c r="I63" i="21"/>
  <c r="H63" i="21"/>
  <c r="G63" i="21"/>
  <c r="F63" i="21"/>
  <c r="E63" i="21"/>
  <c r="D63" i="21"/>
  <c r="C63" i="21"/>
  <c r="B63" i="21"/>
  <c r="K62" i="21"/>
  <c r="N62" i="21" s="1"/>
  <c r="K61" i="21"/>
  <c r="N61" i="21" s="1"/>
  <c r="K60" i="21"/>
  <c r="N60" i="21" s="1"/>
  <c r="K59" i="21"/>
  <c r="N59" i="21" s="1"/>
  <c r="K58" i="21"/>
  <c r="N58" i="21" s="1"/>
  <c r="K57" i="21"/>
  <c r="N57" i="21" s="1"/>
  <c r="K56" i="21"/>
  <c r="N56" i="21" s="1"/>
  <c r="J55" i="21"/>
  <c r="I55" i="21"/>
  <c r="H55" i="21"/>
  <c r="F55" i="21"/>
  <c r="E55" i="21"/>
  <c r="C55" i="21"/>
  <c r="B55" i="21"/>
  <c r="K54" i="21"/>
  <c r="N54" i="21" s="1"/>
  <c r="K53" i="21"/>
  <c r="G55" i="21"/>
  <c r="K52" i="21"/>
  <c r="N52" i="21" s="1"/>
  <c r="K51" i="21"/>
  <c r="I50" i="21"/>
  <c r="H50" i="21"/>
  <c r="G50" i="21"/>
  <c r="F50" i="21"/>
  <c r="E50" i="21"/>
  <c r="D50" i="21"/>
  <c r="C50" i="21"/>
  <c r="B50" i="21"/>
  <c r="K49" i="21"/>
  <c r="N49" i="21" s="1"/>
  <c r="K48" i="21"/>
  <c r="N48" i="21" s="1"/>
  <c r="K47" i="21"/>
  <c r="N47" i="21" s="1"/>
  <c r="K46" i="21"/>
  <c r="N46" i="21" s="1"/>
  <c r="K45" i="21"/>
  <c r="N45" i="21" s="1"/>
  <c r="K44" i="21"/>
  <c r="N44" i="21" s="1"/>
  <c r="J43" i="21"/>
  <c r="I43" i="21"/>
  <c r="F43" i="21"/>
  <c r="E43" i="21"/>
  <c r="D43" i="21"/>
  <c r="C43" i="21"/>
  <c r="B43" i="21"/>
  <c r="K42" i="21"/>
  <c r="G42" i="21"/>
  <c r="H43" i="21"/>
  <c r="K41" i="21"/>
  <c r="N41" i="21" s="1"/>
  <c r="K40" i="21"/>
  <c r="N40" i="21" s="1"/>
  <c r="K39" i="21"/>
  <c r="N39" i="21" s="1"/>
  <c r="E38" i="21"/>
  <c r="D38" i="21"/>
  <c r="K37" i="21"/>
  <c r="C37" i="21"/>
  <c r="F37" i="21" s="1"/>
  <c r="L37" i="21" s="1"/>
  <c r="K36" i="21"/>
  <c r="F36" i="21"/>
  <c r="L36" i="21" s="1"/>
  <c r="K35" i="21"/>
  <c r="G35" i="21"/>
  <c r="F35" i="21"/>
  <c r="L35" i="21" s="1"/>
  <c r="K34" i="21"/>
  <c r="C34" i="21"/>
  <c r="F34" i="21" s="1"/>
  <c r="L34" i="21" s="1"/>
  <c r="K33" i="21"/>
  <c r="C33" i="21"/>
  <c r="B33" i="21" s="1"/>
  <c r="J32" i="21"/>
  <c r="K32" i="21" s="1"/>
  <c r="G32" i="21"/>
  <c r="F32" i="21"/>
  <c r="L32" i="21" s="1"/>
  <c r="K31" i="21"/>
  <c r="C31" i="21"/>
  <c r="K30" i="21"/>
  <c r="C30" i="21"/>
  <c r="K29" i="21"/>
  <c r="C29" i="21"/>
  <c r="J28" i="21"/>
  <c r="K28" i="21" s="1"/>
  <c r="G28" i="21"/>
  <c r="C27" i="21"/>
  <c r="E26" i="21"/>
  <c r="B26" i="21"/>
  <c r="L20" i="21"/>
  <c r="K20" i="21"/>
  <c r="L19" i="21"/>
  <c r="K19" i="21"/>
  <c r="L18" i="21"/>
  <c r="K18" i="21"/>
  <c r="G18" i="21"/>
  <c r="K17" i="21"/>
  <c r="K16" i="21"/>
  <c r="K15" i="21"/>
  <c r="K14" i="21"/>
  <c r="K13" i="21"/>
  <c r="K12" i="21"/>
  <c r="I26" i="21"/>
  <c r="G11" i="21" l="1"/>
  <c r="F15" i="21"/>
  <c r="L15" i="21" s="1"/>
  <c r="J38" i="21"/>
  <c r="E64" i="21"/>
  <c r="I64" i="21"/>
  <c r="H64" i="21"/>
  <c r="F13" i="21"/>
  <c r="L13" i="21" s="1"/>
  <c r="N42" i="21"/>
  <c r="N32" i="21"/>
  <c r="F33" i="21"/>
  <c r="L33" i="21" s="1"/>
  <c r="N53" i="21"/>
  <c r="G33" i="21"/>
  <c r="N33" i="21" s="1"/>
  <c r="G29" i="21"/>
  <c r="N29" i="21" s="1"/>
  <c r="B29" i="21"/>
  <c r="G31" i="21"/>
  <c r="N31" i="21" s="1"/>
  <c r="B31" i="21"/>
  <c r="G43" i="21"/>
  <c r="C38" i="21"/>
  <c r="F38" i="21" s="1"/>
  <c r="B27" i="21"/>
  <c r="F30" i="21"/>
  <c r="L30" i="21" s="1"/>
  <c r="B30" i="21"/>
  <c r="F27" i="21"/>
  <c r="L27" i="21" s="1"/>
  <c r="G30" i="21"/>
  <c r="N30" i="21" s="1"/>
  <c r="G34" i="21"/>
  <c r="N34" i="21" s="1"/>
  <c r="B34" i="21"/>
  <c r="G37" i="21"/>
  <c r="N37" i="21" s="1"/>
  <c r="B37" i="21"/>
  <c r="K43" i="21"/>
  <c r="K55" i="21"/>
  <c r="N55" i="21" s="1"/>
  <c r="D55" i="21"/>
  <c r="K63" i="21"/>
  <c r="N63" i="21" s="1"/>
  <c r="F14" i="21"/>
  <c r="L14" i="21" s="1"/>
  <c r="N35" i="21"/>
  <c r="N13" i="21"/>
  <c r="F22" i="21"/>
  <c r="L22" i="21" s="1"/>
  <c r="F17" i="21"/>
  <c r="L17" i="21" s="1"/>
  <c r="C26" i="21"/>
  <c r="J26" i="21"/>
  <c r="K22" i="21"/>
  <c r="N22" i="21" s="1"/>
  <c r="F21" i="21"/>
  <c r="L21" i="21" s="1"/>
  <c r="G16" i="21"/>
  <c r="N16" i="21" s="1"/>
  <c r="N19" i="21"/>
  <c r="G12" i="21"/>
  <c r="N12" i="21" s="1"/>
  <c r="N18" i="21"/>
  <c r="N14" i="21"/>
  <c r="N15" i="21"/>
  <c r="N17" i="21"/>
  <c r="N20" i="21"/>
  <c r="N28" i="21"/>
  <c r="N36" i="21"/>
  <c r="J50" i="21"/>
  <c r="N51" i="21"/>
  <c r="K50" i="21"/>
  <c r="N50" i="21" s="1"/>
  <c r="K11" i="21"/>
  <c r="G27" i="21"/>
  <c r="K27" i="21"/>
  <c r="F28" i="21"/>
  <c r="L28" i="21" s="1"/>
  <c r="F29" i="21"/>
  <c r="L29" i="21" s="1"/>
  <c r="F31" i="21"/>
  <c r="L31" i="21" s="1"/>
  <c r="C64" i="21" l="1"/>
  <c r="J64" i="21"/>
  <c r="N43" i="21"/>
  <c r="G38" i="21"/>
  <c r="B38" i="21"/>
  <c r="B64" i="21" s="1"/>
  <c r="F26" i="21"/>
  <c r="F64" i="21" s="1"/>
  <c r="K38" i="21"/>
  <c r="N27" i="21"/>
  <c r="K26" i="21"/>
  <c r="N11" i="21"/>
  <c r="K64" i="21" l="1"/>
  <c r="N38" i="21"/>
  <c r="O11" i="21"/>
  <c r="P16" i="21"/>
  <c r="H19" i="19"/>
  <c r="J19" i="19" l="1"/>
  <c r="J9" i="19" l="1"/>
  <c r="I9" i="19"/>
  <c r="H9" i="19"/>
  <c r="H10" i="19"/>
  <c r="J10" i="19" l="1"/>
  <c r="J9" i="17" l="1"/>
  <c r="I9" i="17"/>
  <c r="H9" i="17"/>
  <c r="J9" i="13"/>
  <c r="I9" i="13"/>
  <c r="H9" i="13"/>
  <c r="J23" i="19" l="1"/>
  <c r="H23" i="19"/>
  <c r="C23" i="19"/>
  <c r="J20" i="19"/>
  <c r="I20" i="19"/>
  <c r="H22" i="19"/>
  <c r="J14" i="19"/>
  <c r="I14" i="19"/>
  <c r="I101" i="19" l="1"/>
  <c r="M95" i="19"/>
  <c r="K95" i="19"/>
  <c r="M93" i="19"/>
  <c r="K93" i="19"/>
  <c r="K92" i="19"/>
  <c r="J92" i="19"/>
  <c r="I92" i="19"/>
  <c r="H92" i="19"/>
  <c r="G92" i="19"/>
  <c r="F92" i="19"/>
  <c r="E92" i="19"/>
  <c r="D92" i="19"/>
  <c r="C92" i="19"/>
  <c r="B92" i="19"/>
  <c r="M91" i="19"/>
  <c r="K91" i="19"/>
  <c r="M90" i="19"/>
  <c r="K90" i="19"/>
  <c r="M89" i="19"/>
  <c r="K89" i="19"/>
  <c r="J88" i="19"/>
  <c r="I88" i="19"/>
  <c r="H88" i="19"/>
  <c r="G88" i="19"/>
  <c r="F88" i="19"/>
  <c r="E88" i="19"/>
  <c r="D88" i="19"/>
  <c r="C88" i="19"/>
  <c r="B88" i="19"/>
  <c r="K87" i="19"/>
  <c r="M87" i="19" s="1"/>
  <c r="M86" i="19"/>
  <c r="K86" i="19"/>
  <c r="K85" i="19"/>
  <c r="K88" i="19" s="1"/>
  <c r="M88" i="19" s="1"/>
  <c r="J84" i="19"/>
  <c r="I84" i="19"/>
  <c r="H84" i="19"/>
  <c r="G84" i="19"/>
  <c r="F84" i="19"/>
  <c r="E84" i="19"/>
  <c r="D84" i="19"/>
  <c r="C84" i="19"/>
  <c r="B84" i="19"/>
  <c r="M83" i="19"/>
  <c r="K83" i="19"/>
  <c r="M82" i="19"/>
  <c r="K82" i="19"/>
  <c r="M81" i="19"/>
  <c r="K81" i="19"/>
  <c r="M80" i="19"/>
  <c r="K80" i="19"/>
  <c r="M79" i="19"/>
  <c r="K79" i="19"/>
  <c r="M78" i="19"/>
  <c r="K78" i="19"/>
  <c r="M77" i="19"/>
  <c r="K77" i="19"/>
  <c r="K84" i="19" s="1"/>
  <c r="M84" i="19" s="1"/>
  <c r="J76" i="19"/>
  <c r="I76" i="19"/>
  <c r="H76" i="19"/>
  <c r="G76" i="19"/>
  <c r="F76" i="19"/>
  <c r="E76" i="19"/>
  <c r="D76" i="19"/>
  <c r="C76" i="19"/>
  <c r="B76" i="19"/>
  <c r="B94" i="19" s="1"/>
  <c r="M75" i="19"/>
  <c r="K75" i="19"/>
  <c r="K74" i="19"/>
  <c r="M74" i="19" s="1"/>
  <c r="M73" i="19"/>
  <c r="K73" i="19"/>
  <c r="K72" i="19"/>
  <c r="M72" i="19" s="1"/>
  <c r="M71" i="19"/>
  <c r="K71" i="19"/>
  <c r="K70" i="19"/>
  <c r="M70" i="19" s="1"/>
  <c r="M69" i="19"/>
  <c r="K69" i="19"/>
  <c r="K68" i="19"/>
  <c r="M68" i="19" s="1"/>
  <c r="M67" i="19"/>
  <c r="K67" i="19"/>
  <c r="K76" i="19" s="1"/>
  <c r="M76" i="19" s="1"/>
  <c r="K66" i="19"/>
  <c r="J66" i="19"/>
  <c r="I66" i="19"/>
  <c r="H66" i="19"/>
  <c r="F66" i="19"/>
  <c r="E66" i="19"/>
  <c r="C66" i="19"/>
  <c r="B66" i="19"/>
  <c r="M65" i="19"/>
  <c r="K65" i="19"/>
  <c r="M64" i="19"/>
  <c r="K64" i="19"/>
  <c r="M63" i="19"/>
  <c r="K63" i="19"/>
  <c r="M62" i="19"/>
  <c r="K62" i="19"/>
  <c r="M61" i="19"/>
  <c r="K61" i="19"/>
  <c r="M60" i="19"/>
  <c r="K60" i="19"/>
  <c r="K59" i="19"/>
  <c r="G59" i="19"/>
  <c r="M59" i="19" s="1"/>
  <c r="D59" i="19"/>
  <c r="D66" i="19" s="1"/>
  <c r="M58" i="19"/>
  <c r="K58" i="19"/>
  <c r="M57" i="19"/>
  <c r="K57" i="19"/>
  <c r="J56" i="19"/>
  <c r="I56" i="19"/>
  <c r="H56" i="19"/>
  <c r="G56" i="19"/>
  <c r="F56" i="19"/>
  <c r="E56" i="19"/>
  <c r="D56" i="19"/>
  <c r="C56" i="19"/>
  <c r="B56" i="19"/>
  <c r="M55" i="19"/>
  <c r="K55" i="19"/>
  <c r="K54" i="19"/>
  <c r="M54" i="19" s="1"/>
  <c r="M53" i="19"/>
  <c r="K53" i="19"/>
  <c r="K52" i="19"/>
  <c r="M52" i="19" s="1"/>
  <c r="M51" i="19"/>
  <c r="K51" i="19"/>
  <c r="J51" i="19"/>
  <c r="M50" i="19"/>
  <c r="K50" i="19"/>
  <c r="M49" i="19"/>
  <c r="K49" i="19"/>
  <c r="M48" i="19"/>
  <c r="K48" i="19"/>
  <c r="M47" i="19"/>
  <c r="K47" i="19"/>
  <c r="M46" i="19"/>
  <c r="K46" i="19"/>
  <c r="M45" i="19"/>
  <c r="K45" i="19"/>
  <c r="M44" i="19"/>
  <c r="K44" i="19"/>
  <c r="K56" i="19" s="1"/>
  <c r="M56" i="19" s="1"/>
  <c r="J43" i="19"/>
  <c r="I43" i="19"/>
  <c r="F43" i="19"/>
  <c r="E43" i="19"/>
  <c r="D43" i="19"/>
  <c r="C43" i="19"/>
  <c r="B43" i="19"/>
  <c r="M42" i="19"/>
  <c r="K42" i="19"/>
  <c r="K41" i="19"/>
  <c r="M41" i="19" s="1"/>
  <c r="G41" i="19"/>
  <c r="G43" i="19" s="1"/>
  <c r="H40" i="19"/>
  <c r="H43" i="19" s="1"/>
  <c r="M39" i="19"/>
  <c r="K39" i="19"/>
  <c r="K38" i="19"/>
  <c r="M38" i="19" s="1"/>
  <c r="M37" i="19"/>
  <c r="K37" i="19"/>
  <c r="K36" i="19"/>
  <c r="E35" i="19"/>
  <c r="F35" i="19" s="1"/>
  <c r="D35" i="19"/>
  <c r="B35" i="19"/>
  <c r="M34" i="19"/>
  <c r="K34" i="19"/>
  <c r="J34" i="19"/>
  <c r="F34" i="19"/>
  <c r="L34" i="19" s="1"/>
  <c r="J33" i="19"/>
  <c r="K33" i="19" s="1"/>
  <c r="M33" i="19" s="1"/>
  <c r="F33" i="19"/>
  <c r="L33" i="19" s="1"/>
  <c r="K32" i="19"/>
  <c r="J32" i="19"/>
  <c r="C32" i="19"/>
  <c r="G32" i="19" s="1"/>
  <c r="J31" i="19"/>
  <c r="H31" i="19"/>
  <c r="K31" i="19" s="1"/>
  <c r="C31" i="19"/>
  <c r="G31" i="19" s="1"/>
  <c r="K30" i="19"/>
  <c r="G30" i="19"/>
  <c r="M30" i="19" s="1"/>
  <c r="F30" i="19"/>
  <c r="L30" i="19" s="1"/>
  <c r="C30" i="19"/>
  <c r="K29" i="19"/>
  <c r="C29" i="19"/>
  <c r="G29" i="19" s="1"/>
  <c r="K28" i="19"/>
  <c r="G28" i="19"/>
  <c r="F28" i="19"/>
  <c r="L28" i="19" s="1"/>
  <c r="C28" i="19"/>
  <c r="J27" i="19"/>
  <c r="K27" i="19" s="1"/>
  <c r="F27" i="19"/>
  <c r="L27" i="19" s="1"/>
  <c r="C27" i="19"/>
  <c r="G27" i="19" s="1"/>
  <c r="K26" i="19"/>
  <c r="M26" i="19" s="1"/>
  <c r="G26" i="19"/>
  <c r="F26" i="19"/>
  <c r="L26" i="19" s="1"/>
  <c r="C26" i="19"/>
  <c r="K25" i="19"/>
  <c r="F25" i="19"/>
  <c r="L25" i="19" s="1"/>
  <c r="C25" i="19"/>
  <c r="G25" i="19" s="1"/>
  <c r="M25" i="19" s="1"/>
  <c r="K24" i="19"/>
  <c r="M24" i="19" s="1"/>
  <c r="G24" i="19"/>
  <c r="F24" i="19"/>
  <c r="L24" i="19" s="1"/>
  <c r="C24" i="19"/>
  <c r="K23" i="19"/>
  <c r="M23" i="19" s="1"/>
  <c r="G23" i="19"/>
  <c r="F23" i="19"/>
  <c r="L23" i="19" s="1"/>
  <c r="J22" i="19"/>
  <c r="J35" i="19" s="1"/>
  <c r="I22" i="19"/>
  <c r="I35" i="19" s="1"/>
  <c r="H35" i="19"/>
  <c r="C22" i="19"/>
  <c r="C35" i="19" s="1"/>
  <c r="E21" i="19"/>
  <c r="D21" i="19"/>
  <c r="C21" i="19"/>
  <c r="B21" i="19"/>
  <c r="I21" i="19"/>
  <c r="G20" i="19"/>
  <c r="F20" i="19"/>
  <c r="L20" i="19" s="1"/>
  <c r="K19" i="19"/>
  <c r="G19" i="19"/>
  <c r="F19" i="19"/>
  <c r="L19" i="19" s="1"/>
  <c r="L18" i="19"/>
  <c r="K18" i="19"/>
  <c r="G18" i="19"/>
  <c r="L17" i="19"/>
  <c r="K17" i="19"/>
  <c r="G17" i="19"/>
  <c r="M17" i="19" s="1"/>
  <c r="L16" i="19"/>
  <c r="K16" i="19"/>
  <c r="G16" i="19"/>
  <c r="M16" i="19" s="1"/>
  <c r="K15" i="19"/>
  <c r="G15" i="19"/>
  <c r="F15" i="19"/>
  <c r="L15" i="19" s="1"/>
  <c r="K14" i="19"/>
  <c r="G14" i="19"/>
  <c r="F14" i="19"/>
  <c r="L14" i="19" s="1"/>
  <c r="K13" i="19"/>
  <c r="G13" i="19"/>
  <c r="F13" i="19"/>
  <c r="L13" i="19" s="1"/>
  <c r="K12" i="19"/>
  <c r="G12" i="19"/>
  <c r="F12" i="19"/>
  <c r="L12" i="19" s="1"/>
  <c r="K11" i="19"/>
  <c r="M11" i="19" s="1"/>
  <c r="G11" i="19"/>
  <c r="F11" i="19"/>
  <c r="L11" i="19" s="1"/>
  <c r="K10" i="19"/>
  <c r="G10" i="19"/>
  <c r="F10" i="19"/>
  <c r="L10" i="19" s="1"/>
  <c r="J21" i="19"/>
  <c r="H21" i="19"/>
  <c r="G9" i="19"/>
  <c r="F9" i="19"/>
  <c r="L9" i="19" s="1"/>
  <c r="M19" i="19" l="1"/>
  <c r="I94" i="19"/>
  <c r="I96" i="19" s="1"/>
  <c r="M28" i="19"/>
  <c r="E94" i="19"/>
  <c r="E96" i="19" s="1"/>
  <c r="D94" i="19"/>
  <c r="D96" i="19" s="1"/>
  <c r="M15" i="19"/>
  <c r="M18" i="19"/>
  <c r="M12" i="19"/>
  <c r="M13" i="19"/>
  <c r="M10" i="19"/>
  <c r="M14" i="19"/>
  <c r="B96" i="19"/>
  <c r="G21" i="19"/>
  <c r="F21" i="19"/>
  <c r="H94" i="19"/>
  <c r="H96" i="19" s="1"/>
  <c r="M27" i="19"/>
  <c r="M31" i="19"/>
  <c r="M32" i="19"/>
  <c r="F94" i="19"/>
  <c r="J94" i="19"/>
  <c r="J96" i="19" s="1"/>
  <c r="C94" i="19"/>
  <c r="C96" i="19" s="1"/>
  <c r="M29" i="19"/>
  <c r="G66" i="19"/>
  <c r="F22" i="19"/>
  <c r="L22" i="19" s="1"/>
  <c r="F29" i="19"/>
  <c r="L29" i="19" s="1"/>
  <c r="F31" i="19"/>
  <c r="L31" i="19" s="1"/>
  <c r="F32" i="19"/>
  <c r="L32" i="19" s="1"/>
  <c r="M36" i="19"/>
  <c r="K40" i="19"/>
  <c r="M40" i="19" s="1"/>
  <c r="M85" i="19"/>
  <c r="M92" i="19"/>
  <c r="K20" i="19"/>
  <c r="M20" i="19" s="1"/>
  <c r="G22" i="19"/>
  <c r="G35" i="19" s="1"/>
  <c r="K22" i="19"/>
  <c r="K9" i="19"/>
  <c r="J10" i="17"/>
  <c r="J14" i="17"/>
  <c r="H10" i="17"/>
  <c r="G94" i="19" l="1"/>
  <c r="F96" i="19"/>
  <c r="G96" i="19"/>
  <c r="K43" i="19"/>
  <c r="K21" i="19"/>
  <c r="M21" i="19" s="1"/>
  <c r="M9" i="19"/>
  <c r="M22" i="19"/>
  <c r="K35" i="19"/>
  <c r="M35" i="19" s="1"/>
  <c r="M66" i="19"/>
  <c r="M43" i="19" l="1"/>
  <c r="K94" i="19"/>
  <c r="I10" i="17"/>
  <c r="I21" i="17" s="1"/>
  <c r="H21" i="17"/>
  <c r="I20" i="17"/>
  <c r="J20" i="17"/>
  <c r="K20" i="17" s="1"/>
  <c r="I101" i="17"/>
  <c r="M95" i="17"/>
  <c r="K95" i="17"/>
  <c r="K93" i="17"/>
  <c r="M93" i="17" s="1"/>
  <c r="J92" i="17"/>
  <c r="I92" i="17"/>
  <c r="I94" i="17" s="1"/>
  <c r="H92" i="17"/>
  <c r="G92" i="17"/>
  <c r="F92" i="17"/>
  <c r="E92" i="17"/>
  <c r="E94" i="17" s="1"/>
  <c r="D92" i="17"/>
  <c r="C92" i="17"/>
  <c r="B92" i="17"/>
  <c r="M91" i="17"/>
  <c r="K91" i="17"/>
  <c r="M90" i="17"/>
  <c r="K90" i="17"/>
  <c r="M89" i="17"/>
  <c r="K89" i="17"/>
  <c r="K92" i="17" s="1"/>
  <c r="J88" i="17"/>
  <c r="I88" i="17"/>
  <c r="H88" i="17"/>
  <c r="G88" i="17"/>
  <c r="F88" i="17"/>
  <c r="E88" i="17"/>
  <c r="D88" i="17"/>
  <c r="C88" i="17"/>
  <c r="B88" i="17"/>
  <c r="B94" i="17" s="1"/>
  <c r="B96" i="17" s="1"/>
  <c r="K87" i="17"/>
  <c r="M87" i="17" s="1"/>
  <c r="K86" i="17"/>
  <c r="M86" i="17" s="1"/>
  <c r="K85" i="17"/>
  <c r="K88" i="17" s="1"/>
  <c r="M88" i="17" s="1"/>
  <c r="K84" i="17"/>
  <c r="M84" i="17" s="1"/>
  <c r="J84" i="17"/>
  <c r="I84" i="17"/>
  <c r="H84" i="17"/>
  <c r="G84" i="17"/>
  <c r="F84" i="17"/>
  <c r="E84" i="17"/>
  <c r="D84" i="17"/>
  <c r="C84" i="17"/>
  <c r="B84" i="17"/>
  <c r="M83" i="17"/>
  <c r="K83" i="17"/>
  <c r="M82" i="17"/>
  <c r="K82" i="17"/>
  <c r="M81" i="17"/>
  <c r="K81" i="17"/>
  <c r="M80" i="17"/>
  <c r="K80" i="17"/>
  <c r="M79" i="17"/>
  <c r="K79" i="17"/>
  <c r="M78" i="17"/>
  <c r="K78" i="17"/>
  <c r="M77" i="17"/>
  <c r="K77" i="17"/>
  <c r="J76" i="17"/>
  <c r="I76" i="17"/>
  <c r="H76" i="17"/>
  <c r="H94" i="17" s="1"/>
  <c r="G76" i="17"/>
  <c r="F76" i="17"/>
  <c r="E76" i="17"/>
  <c r="D76" i="17"/>
  <c r="D94" i="17" s="1"/>
  <c r="C76" i="17"/>
  <c r="B76" i="17"/>
  <c r="K75" i="17"/>
  <c r="M75" i="17" s="1"/>
  <c r="K74" i="17"/>
  <c r="M74" i="17" s="1"/>
  <c r="K73" i="17"/>
  <c r="M73" i="17" s="1"/>
  <c r="K72" i="17"/>
  <c r="M72" i="17" s="1"/>
  <c r="K71" i="17"/>
  <c r="M71" i="17" s="1"/>
  <c r="K70" i="17"/>
  <c r="M70" i="17" s="1"/>
  <c r="K69" i="17"/>
  <c r="M69" i="17" s="1"/>
  <c r="K68" i="17"/>
  <c r="M68" i="17" s="1"/>
  <c r="K67" i="17"/>
  <c r="M67" i="17" s="1"/>
  <c r="J66" i="17"/>
  <c r="I66" i="17"/>
  <c r="H66" i="17"/>
  <c r="F66" i="17"/>
  <c r="E66" i="17"/>
  <c r="D66" i="17"/>
  <c r="C66" i="17"/>
  <c r="B66" i="17"/>
  <c r="M65" i="17"/>
  <c r="K65" i="17"/>
  <c r="M64" i="17"/>
  <c r="K64" i="17"/>
  <c r="M63" i="17"/>
  <c r="K63" i="17"/>
  <c r="M62" i="17"/>
  <c r="K62" i="17"/>
  <c r="M61" i="17"/>
  <c r="K61" i="17"/>
  <c r="M60" i="17"/>
  <c r="K60" i="17"/>
  <c r="M59" i="17"/>
  <c r="K59" i="17"/>
  <c r="G59" i="17"/>
  <c r="G66" i="17" s="1"/>
  <c r="D59" i="17"/>
  <c r="M58" i="17"/>
  <c r="K58" i="17"/>
  <c r="K66" i="17" s="1"/>
  <c r="M57" i="17"/>
  <c r="K57" i="17"/>
  <c r="I56" i="17"/>
  <c r="H56" i="17"/>
  <c r="G56" i="17"/>
  <c r="F56" i="17"/>
  <c r="E56" i="17"/>
  <c r="D56" i="17"/>
  <c r="C56" i="17"/>
  <c r="B56" i="17"/>
  <c r="K55" i="17"/>
  <c r="M55" i="17" s="1"/>
  <c r="K54" i="17"/>
  <c r="M54" i="17" s="1"/>
  <c r="K53" i="17"/>
  <c r="M53" i="17" s="1"/>
  <c r="K52" i="17"/>
  <c r="M52" i="17" s="1"/>
  <c r="K51" i="17"/>
  <c r="M51" i="17" s="1"/>
  <c r="J51" i="17"/>
  <c r="J56" i="17" s="1"/>
  <c r="M50" i="17"/>
  <c r="K50" i="17"/>
  <c r="M49" i="17"/>
  <c r="K49" i="17"/>
  <c r="M48" i="17"/>
  <c r="K48" i="17"/>
  <c r="M47" i="17"/>
  <c r="K47" i="17"/>
  <c r="M46" i="17"/>
  <c r="K46" i="17"/>
  <c r="M45" i="17"/>
  <c r="K45" i="17"/>
  <c r="K56" i="17" s="1"/>
  <c r="M56" i="17" s="1"/>
  <c r="M44" i="17"/>
  <c r="K44" i="17"/>
  <c r="J43" i="17"/>
  <c r="I43" i="17"/>
  <c r="H43" i="17"/>
  <c r="G43" i="17"/>
  <c r="F43" i="17"/>
  <c r="E43" i="17"/>
  <c r="D43" i="17"/>
  <c r="C43" i="17"/>
  <c r="B43" i="17"/>
  <c r="K42" i="17"/>
  <c r="M42" i="17" s="1"/>
  <c r="K41" i="17"/>
  <c r="M41" i="17" s="1"/>
  <c r="G41" i="17"/>
  <c r="H40" i="17"/>
  <c r="K40" i="17" s="1"/>
  <c r="M40" i="17" s="1"/>
  <c r="K39" i="17"/>
  <c r="M39" i="17" s="1"/>
  <c r="K38" i="17"/>
  <c r="M38" i="17" s="1"/>
  <c r="K37" i="17"/>
  <c r="M37" i="17" s="1"/>
  <c r="K36" i="17"/>
  <c r="E35" i="17"/>
  <c r="D35" i="17"/>
  <c r="B35" i="17"/>
  <c r="K34" i="17"/>
  <c r="M34" i="17" s="1"/>
  <c r="J34" i="17"/>
  <c r="F34" i="17"/>
  <c r="L34" i="17" s="1"/>
  <c r="L33" i="17"/>
  <c r="J33" i="17"/>
  <c r="K33" i="17" s="1"/>
  <c r="M33" i="17" s="1"/>
  <c r="F33" i="17"/>
  <c r="K32" i="17"/>
  <c r="J32" i="17"/>
  <c r="G32" i="17"/>
  <c r="M32" i="17" s="1"/>
  <c r="C32" i="17"/>
  <c r="F32" i="17" s="1"/>
  <c r="L32" i="17" s="1"/>
  <c r="J31" i="17"/>
  <c r="K31" i="17" s="1"/>
  <c r="M31" i="17" s="1"/>
  <c r="H31" i="17"/>
  <c r="G31" i="17"/>
  <c r="C31" i="17"/>
  <c r="F31" i="17" s="1"/>
  <c r="L31" i="17" s="1"/>
  <c r="K30" i="17"/>
  <c r="C30" i="17"/>
  <c r="F30" i="17" s="1"/>
  <c r="L30" i="17" s="1"/>
  <c r="K29" i="17"/>
  <c r="G29" i="17"/>
  <c r="M29" i="17" s="1"/>
  <c r="C29" i="17"/>
  <c r="F29" i="17" s="1"/>
  <c r="L29" i="17" s="1"/>
  <c r="K28" i="17"/>
  <c r="C28" i="17"/>
  <c r="F28" i="17" s="1"/>
  <c r="L28" i="17" s="1"/>
  <c r="J27" i="17"/>
  <c r="K27" i="17" s="1"/>
  <c r="M27" i="17" s="1"/>
  <c r="G27" i="17"/>
  <c r="F27" i="17"/>
  <c r="L27" i="17" s="1"/>
  <c r="C27" i="17"/>
  <c r="K26" i="17"/>
  <c r="F26" i="17"/>
  <c r="L26" i="17" s="1"/>
  <c r="C26" i="17"/>
  <c r="G26" i="17" s="1"/>
  <c r="M26" i="17" s="1"/>
  <c r="K25" i="17"/>
  <c r="M25" i="17" s="1"/>
  <c r="G25" i="17"/>
  <c r="F25" i="17"/>
  <c r="L25" i="17" s="1"/>
  <c r="C25" i="17"/>
  <c r="K24" i="17"/>
  <c r="F24" i="17"/>
  <c r="L24" i="17" s="1"/>
  <c r="C24" i="17"/>
  <c r="G24" i="17" s="1"/>
  <c r="M24" i="17" s="1"/>
  <c r="K23" i="17"/>
  <c r="J23" i="17"/>
  <c r="H23" i="17"/>
  <c r="F23" i="17"/>
  <c r="L23" i="17" s="1"/>
  <c r="C23" i="17"/>
  <c r="G23" i="17" s="1"/>
  <c r="K22" i="17"/>
  <c r="M22" i="17" s="1"/>
  <c r="J22" i="17"/>
  <c r="J35" i="17" s="1"/>
  <c r="I22" i="17"/>
  <c r="I35" i="17" s="1"/>
  <c r="H22" i="17"/>
  <c r="H35" i="17" s="1"/>
  <c r="G22" i="17"/>
  <c r="C22" i="17"/>
  <c r="F22" i="17" s="1"/>
  <c r="L22" i="17" s="1"/>
  <c r="E21" i="17"/>
  <c r="D21" i="17"/>
  <c r="C21" i="17"/>
  <c r="B21" i="17"/>
  <c r="G20" i="17"/>
  <c r="F20" i="17"/>
  <c r="L20" i="17" s="1"/>
  <c r="H19" i="17"/>
  <c r="K19" i="17" s="1"/>
  <c r="M19" i="17" s="1"/>
  <c r="G19" i="17"/>
  <c r="F19" i="17"/>
  <c r="L19" i="17" s="1"/>
  <c r="L18" i="17"/>
  <c r="K18" i="17"/>
  <c r="G18" i="17"/>
  <c r="L17" i="17"/>
  <c r="K17" i="17"/>
  <c r="M17" i="17" s="1"/>
  <c r="G17" i="17"/>
  <c r="L16" i="17"/>
  <c r="K16" i="17"/>
  <c r="M16" i="17" s="1"/>
  <c r="G16" i="17"/>
  <c r="L15" i="17"/>
  <c r="K15" i="17"/>
  <c r="M15" i="17" s="1"/>
  <c r="G15" i="17"/>
  <c r="F15" i="17"/>
  <c r="K14" i="17"/>
  <c r="G14" i="17"/>
  <c r="F14" i="17"/>
  <c r="L14" i="17" s="1"/>
  <c r="K13" i="17"/>
  <c r="M13" i="17" s="1"/>
  <c r="G13" i="17"/>
  <c r="F13" i="17"/>
  <c r="L13" i="17" s="1"/>
  <c r="L12" i="17"/>
  <c r="K12" i="17"/>
  <c r="M12" i="17" s="1"/>
  <c r="G12" i="17"/>
  <c r="F12" i="17"/>
  <c r="M11" i="17"/>
  <c r="K11" i="17"/>
  <c r="G11" i="17"/>
  <c r="F11" i="17"/>
  <c r="L11" i="17" s="1"/>
  <c r="K10" i="17"/>
  <c r="G10" i="17"/>
  <c r="F10" i="17"/>
  <c r="L10" i="17" s="1"/>
  <c r="G9" i="17"/>
  <c r="F9" i="17"/>
  <c r="J10" i="13"/>
  <c r="K96" i="19" l="1"/>
  <c r="M94" i="19"/>
  <c r="M18" i="17"/>
  <c r="D96" i="17"/>
  <c r="J21" i="17"/>
  <c r="M20" i="17"/>
  <c r="H96" i="17"/>
  <c r="M10" i="17"/>
  <c r="G21" i="17"/>
  <c r="F21" i="17"/>
  <c r="E96" i="17"/>
  <c r="I96" i="17"/>
  <c r="J94" i="17"/>
  <c r="K43" i="17"/>
  <c r="M43" i="17" s="1"/>
  <c r="M66" i="17"/>
  <c r="K94" i="17"/>
  <c r="M92" i="17"/>
  <c r="M23" i="17"/>
  <c r="M28" i="17"/>
  <c r="M14" i="17"/>
  <c r="K35" i="17"/>
  <c r="G28" i="17"/>
  <c r="G35" i="17" s="1"/>
  <c r="G94" i="17" s="1"/>
  <c r="G30" i="17"/>
  <c r="M30" i="17" s="1"/>
  <c r="L9" i="17"/>
  <c r="M36" i="17"/>
  <c r="K76" i="17"/>
  <c r="M76" i="17" s="1"/>
  <c r="M85" i="17"/>
  <c r="C35" i="17"/>
  <c r="C94" i="17" s="1"/>
  <c r="C96" i="17" s="1"/>
  <c r="K9" i="17"/>
  <c r="H10" i="13"/>
  <c r="J14" i="13"/>
  <c r="G96" i="17" l="1"/>
  <c r="J96" i="17"/>
  <c r="M94" i="17"/>
  <c r="M35" i="17"/>
  <c r="F35" i="17"/>
  <c r="F94" i="17" s="1"/>
  <c r="F96" i="17" s="1"/>
  <c r="K21" i="17"/>
  <c r="M21" i="17" s="1"/>
  <c r="M9" i="17"/>
  <c r="I10" i="13"/>
  <c r="J20" i="13"/>
  <c r="I20" i="13"/>
  <c r="K96" i="17" l="1"/>
  <c r="C31" i="13" l="1"/>
  <c r="K16" i="1" l="1"/>
  <c r="M16" i="1"/>
  <c r="H31" i="13"/>
  <c r="J33" i="12" l="1"/>
  <c r="K33" i="12" s="1"/>
  <c r="C33" i="12"/>
  <c r="F33" i="12"/>
  <c r="L33" i="12" s="1"/>
  <c r="H33" i="12"/>
  <c r="G33" i="12"/>
  <c r="H21" i="1"/>
  <c r="J31" i="13"/>
  <c r="I22" i="13"/>
  <c r="C32" i="13"/>
  <c r="J32" i="13"/>
  <c r="C30" i="13"/>
  <c r="C29" i="13"/>
  <c r="C28" i="13"/>
  <c r="C27" i="13"/>
  <c r="C25" i="13"/>
  <c r="C26" i="13"/>
  <c r="C24" i="13"/>
  <c r="C23" i="13"/>
  <c r="M33" i="12" l="1"/>
  <c r="J23" i="13"/>
  <c r="H23" i="13"/>
  <c r="I101" i="13" l="1"/>
  <c r="K95" i="13"/>
  <c r="M95" i="13" s="1"/>
  <c r="K93" i="13"/>
  <c r="M93" i="13" s="1"/>
  <c r="J92" i="13"/>
  <c r="I92" i="13"/>
  <c r="H92" i="13"/>
  <c r="G92" i="13"/>
  <c r="F92" i="13"/>
  <c r="E92" i="13"/>
  <c r="D92" i="13"/>
  <c r="C92" i="13"/>
  <c r="B92" i="13"/>
  <c r="K91" i="13"/>
  <c r="M91" i="13" s="1"/>
  <c r="K90" i="13"/>
  <c r="M90" i="13" s="1"/>
  <c r="K89" i="13"/>
  <c r="M89" i="13" s="1"/>
  <c r="J88" i="13"/>
  <c r="I88" i="13"/>
  <c r="H88" i="13"/>
  <c r="G88" i="13"/>
  <c r="F88" i="13"/>
  <c r="E88" i="13"/>
  <c r="D88" i="13"/>
  <c r="C88" i="13"/>
  <c r="B88" i="13"/>
  <c r="K87" i="13"/>
  <c r="M87" i="13" s="1"/>
  <c r="K86" i="13"/>
  <c r="M86" i="13" s="1"/>
  <c r="K85" i="13"/>
  <c r="J84" i="13"/>
  <c r="I84" i="13"/>
  <c r="H84" i="13"/>
  <c r="G84" i="13"/>
  <c r="F84" i="13"/>
  <c r="E84" i="13"/>
  <c r="D84" i="13"/>
  <c r="C84" i="13"/>
  <c r="B84" i="13"/>
  <c r="K83" i="13"/>
  <c r="M83" i="13" s="1"/>
  <c r="K82" i="13"/>
  <c r="M82" i="13" s="1"/>
  <c r="K81" i="13"/>
  <c r="M81" i="13" s="1"/>
  <c r="K80" i="13"/>
  <c r="M80" i="13" s="1"/>
  <c r="K79" i="13"/>
  <c r="M79" i="13" s="1"/>
  <c r="K78" i="13"/>
  <c r="M78" i="13" s="1"/>
  <c r="K77" i="13"/>
  <c r="J76" i="13"/>
  <c r="I76" i="13"/>
  <c r="H76" i="13"/>
  <c r="G76" i="13"/>
  <c r="F76" i="13"/>
  <c r="E76" i="13"/>
  <c r="D76" i="13"/>
  <c r="C76" i="13"/>
  <c r="B76" i="13"/>
  <c r="K75" i="13"/>
  <c r="M75" i="13" s="1"/>
  <c r="M74" i="13"/>
  <c r="K74" i="13"/>
  <c r="K73" i="13"/>
  <c r="M73" i="13" s="1"/>
  <c r="K72" i="13"/>
  <c r="M72" i="13" s="1"/>
  <c r="K71" i="13"/>
  <c r="M71" i="13" s="1"/>
  <c r="K70" i="13"/>
  <c r="M70" i="13" s="1"/>
  <c r="K69" i="13"/>
  <c r="M69" i="13" s="1"/>
  <c r="K68" i="13"/>
  <c r="M68" i="13" s="1"/>
  <c r="K67" i="13"/>
  <c r="J66" i="13"/>
  <c r="I66" i="13"/>
  <c r="H66" i="13"/>
  <c r="F66" i="13"/>
  <c r="E66" i="13"/>
  <c r="C66" i="13"/>
  <c r="B66" i="13"/>
  <c r="K65" i="13"/>
  <c r="M65" i="13" s="1"/>
  <c r="K64" i="13"/>
  <c r="M64" i="13" s="1"/>
  <c r="K63" i="13"/>
  <c r="M63" i="13" s="1"/>
  <c r="K62" i="13"/>
  <c r="M62" i="13" s="1"/>
  <c r="K61" i="13"/>
  <c r="M61" i="13" s="1"/>
  <c r="K60" i="13"/>
  <c r="M60" i="13" s="1"/>
  <c r="K59" i="13"/>
  <c r="D59" i="13"/>
  <c r="D66" i="13" s="1"/>
  <c r="K58" i="13"/>
  <c r="M58" i="13" s="1"/>
  <c r="K57" i="13"/>
  <c r="I56" i="13"/>
  <c r="H56" i="13"/>
  <c r="G56" i="13"/>
  <c r="F56" i="13"/>
  <c r="E56" i="13"/>
  <c r="D56" i="13"/>
  <c r="C56" i="13"/>
  <c r="B56" i="13"/>
  <c r="K55" i="13"/>
  <c r="M55" i="13" s="1"/>
  <c r="K54" i="13"/>
  <c r="M54" i="13" s="1"/>
  <c r="K53" i="13"/>
  <c r="M53" i="13" s="1"/>
  <c r="K52" i="13"/>
  <c r="M52" i="13" s="1"/>
  <c r="J51" i="13"/>
  <c r="K51" i="13" s="1"/>
  <c r="M51" i="13" s="1"/>
  <c r="K50" i="13"/>
  <c r="M50" i="13" s="1"/>
  <c r="K49" i="13"/>
  <c r="M49" i="13" s="1"/>
  <c r="K48" i="13"/>
  <c r="M48" i="13" s="1"/>
  <c r="K47" i="13"/>
  <c r="M47" i="13" s="1"/>
  <c r="K46" i="13"/>
  <c r="M46" i="13" s="1"/>
  <c r="K45" i="13"/>
  <c r="M45" i="13" s="1"/>
  <c r="K44" i="13"/>
  <c r="J43" i="13"/>
  <c r="I43" i="13"/>
  <c r="F43" i="13"/>
  <c r="E43" i="13"/>
  <c r="D43" i="13"/>
  <c r="C43" i="13"/>
  <c r="B43" i="13"/>
  <c r="K42" i="13"/>
  <c r="M42" i="13" s="1"/>
  <c r="K41" i="13"/>
  <c r="G41" i="13"/>
  <c r="G43" i="13" s="1"/>
  <c r="H40" i="13"/>
  <c r="H43" i="13" s="1"/>
  <c r="K39" i="13"/>
  <c r="M39" i="13" s="1"/>
  <c r="K38" i="13"/>
  <c r="M38" i="13" s="1"/>
  <c r="K37" i="13"/>
  <c r="M37" i="13" s="1"/>
  <c r="K36" i="13"/>
  <c r="M36" i="13" s="1"/>
  <c r="E35" i="13"/>
  <c r="D35" i="13"/>
  <c r="B35" i="13"/>
  <c r="J34" i="13"/>
  <c r="K34" i="13" s="1"/>
  <c r="M34" i="13" s="1"/>
  <c r="F34" i="13"/>
  <c r="L34" i="13" s="1"/>
  <c r="J33" i="13"/>
  <c r="K33" i="13" s="1"/>
  <c r="M33" i="13" s="1"/>
  <c r="F33" i="13"/>
  <c r="L33" i="13" s="1"/>
  <c r="K32" i="13"/>
  <c r="F32" i="13"/>
  <c r="L32" i="13" s="1"/>
  <c r="G32" i="13"/>
  <c r="K31" i="13"/>
  <c r="F31" i="13"/>
  <c r="L31" i="13" s="1"/>
  <c r="G31" i="13"/>
  <c r="K30" i="13"/>
  <c r="G30" i="13"/>
  <c r="F30" i="13"/>
  <c r="L30" i="13" s="1"/>
  <c r="K29" i="13"/>
  <c r="G29" i="13"/>
  <c r="F29" i="13"/>
  <c r="L29" i="13" s="1"/>
  <c r="K28" i="13"/>
  <c r="G28" i="13"/>
  <c r="F28" i="13"/>
  <c r="L28" i="13" s="1"/>
  <c r="J27" i="13"/>
  <c r="K27" i="13" s="1"/>
  <c r="G27" i="13"/>
  <c r="K26" i="13"/>
  <c r="G26" i="13"/>
  <c r="F26" i="13"/>
  <c r="L26" i="13" s="1"/>
  <c r="K25" i="13"/>
  <c r="G25" i="13"/>
  <c r="F25" i="13"/>
  <c r="L25" i="13" s="1"/>
  <c r="K24" i="13"/>
  <c r="G24" i="13"/>
  <c r="F24" i="13"/>
  <c r="L24" i="13" s="1"/>
  <c r="K23" i="13"/>
  <c r="F23" i="13"/>
  <c r="L23" i="13" s="1"/>
  <c r="G23" i="13"/>
  <c r="J22" i="13"/>
  <c r="H22" i="13"/>
  <c r="C22" i="13"/>
  <c r="C35" i="13" s="1"/>
  <c r="E21" i="13"/>
  <c r="D21" i="13"/>
  <c r="C21" i="13"/>
  <c r="B21" i="13"/>
  <c r="G20" i="13"/>
  <c r="F20" i="13"/>
  <c r="L20" i="13" s="1"/>
  <c r="H19" i="13"/>
  <c r="K19" i="13" s="1"/>
  <c r="G19" i="13"/>
  <c r="F19" i="13"/>
  <c r="L19" i="13" s="1"/>
  <c r="L18" i="13"/>
  <c r="K18" i="13"/>
  <c r="G18" i="13"/>
  <c r="L17" i="13"/>
  <c r="K17" i="13"/>
  <c r="G17" i="13"/>
  <c r="L16" i="13"/>
  <c r="K16" i="13"/>
  <c r="G16" i="13"/>
  <c r="K15" i="13"/>
  <c r="G15" i="13"/>
  <c r="F15" i="13"/>
  <c r="L15" i="13" s="1"/>
  <c r="G14" i="13"/>
  <c r="F14" i="13"/>
  <c r="L14" i="13" s="1"/>
  <c r="K13" i="13"/>
  <c r="G13" i="13"/>
  <c r="F13" i="13"/>
  <c r="L13" i="13" s="1"/>
  <c r="K12" i="13"/>
  <c r="G12" i="13"/>
  <c r="F12" i="13"/>
  <c r="L12" i="13" s="1"/>
  <c r="K11" i="13"/>
  <c r="G11" i="13"/>
  <c r="F11" i="13"/>
  <c r="L11" i="13" s="1"/>
  <c r="G10" i="13"/>
  <c r="F10" i="13"/>
  <c r="L10" i="13" s="1"/>
  <c r="H21" i="13"/>
  <c r="G9" i="13"/>
  <c r="F9" i="13"/>
  <c r="L9" i="13" s="1"/>
  <c r="C27" i="12"/>
  <c r="G27" i="12" s="1"/>
  <c r="J14" i="12"/>
  <c r="J14" i="10"/>
  <c r="I105" i="12"/>
  <c r="M99" i="12"/>
  <c r="K99" i="12"/>
  <c r="K97" i="12"/>
  <c r="M97" i="12" s="1"/>
  <c r="K96" i="12"/>
  <c r="J96" i="12"/>
  <c r="I96" i="12"/>
  <c r="H96" i="12"/>
  <c r="G96" i="12"/>
  <c r="F96" i="12"/>
  <c r="E96" i="12"/>
  <c r="D96" i="12"/>
  <c r="C96" i="12"/>
  <c r="B96" i="12"/>
  <c r="M95" i="12"/>
  <c r="K95" i="12"/>
  <c r="M94" i="12"/>
  <c r="K94" i="12"/>
  <c r="M93" i="12"/>
  <c r="K93" i="12"/>
  <c r="J92" i="12"/>
  <c r="I92" i="12"/>
  <c r="H92" i="12"/>
  <c r="G92" i="12"/>
  <c r="F92" i="12"/>
  <c r="E92" i="12"/>
  <c r="D92" i="12"/>
  <c r="C92" i="12"/>
  <c r="B92" i="12"/>
  <c r="K91" i="12"/>
  <c r="M91" i="12" s="1"/>
  <c r="K90" i="12"/>
  <c r="M90" i="12" s="1"/>
  <c r="K89" i="12"/>
  <c r="K92" i="12" s="1"/>
  <c r="M92" i="12" s="1"/>
  <c r="K88" i="12"/>
  <c r="M88" i="12" s="1"/>
  <c r="J88" i="12"/>
  <c r="I88" i="12"/>
  <c r="H88" i="12"/>
  <c r="G88" i="12"/>
  <c r="F88" i="12"/>
  <c r="E88" i="12"/>
  <c r="D88" i="12"/>
  <c r="C88" i="12"/>
  <c r="B88" i="12"/>
  <c r="M87" i="12"/>
  <c r="K87" i="12"/>
  <c r="M86" i="12"/>
  <c r="K86" i="12"/>
  <c r="M85" i="12"/>
  <c r="K85" i="12"/>
  <c r="M84" i="12"/>
  <c r="K84" i="12"/>
  <c r="M83" i="12"/>
  <c r="K83" i="12"/>
  <c r="M82" i="12"/>
  <c r="K82" i="12"/>
  <c r="M81" i="12"/>
  <c r="K81" i="12"/>
  <c r="J80" i="12"/>
  <c r="I80" i="12"/>
  <c r="H80" i="12"/>
  <c r="G80" i="12"/>
  <c r="F80" i="12"/>
  <c r="E80" i="12"/>
  <c r="D80" i="12"/>
  <c r="C80" i="12"/>
  <c r="B80" i="12"/>
  <c r="K79" i="12"/>
  <c r="M79" i="12" s="1"/>
  <c r="K78" i="12"/>
  <c r="M78" i="12" s="1"/>
  <c r="K77" i="12"/>
  <c r="M77" i="12" s="1"/>
  <c r="K76" i="12"/>
  <c r="M76" i="12" s="1"/>
  <c r="K75" i="12"/>
  <c r="M75" i="12" s="1"/>
  <c r="K74" i="12"/>
  <c r="M74" i="12" s="1"/>
  <c r="K73" i="12"/>
  <c r="M73" i="12" s="1"/>
  <c r="K72" i="12"/>
  <c r="M72" i="12" s="1"/>
  <c r="K71" i="12"/>
  <c r="M71" i="12" s="1"/>
  <c r="K70" i="12"/>
  <c r="J70" i="12"/>
  <c r="I70" i="12"/>
  <c r="H70" i="12"/>
  <c r="F70" i="12"/>
  <c r="E70" i="12"/>
  <c r="C70" i="12"/>
  <c r="B70" i="12"/>
  <c r="M69" i="12"/>
  <c r="K69" i="12"/>
  <c r="M68" i="12"/>
  <c r="K68" i="12"/>
  <c r="M67" i="12"/>
  <c r="K67" i="12"/>
  <c r="M66" i="12"/>
  <c r="K66" i="12"/>
  <c r="M65" i="12"/>
  <c r="K65" i="12"/>
  <c r="M64" i="12"/>
  <c r="K64" i="12"/>
  <c r="K63" i="12"/>
  <c r="G63" i="12"/>
  <c r="M63" i="12" s="1"/>
  <c r="D63" i="12"/>
  <c r="D70" i="12" s="1"/>
  <c r="M62" i="12"/>
  <c r="K62" i="12"/>
  <c r="M61" i="12"/>
  <c r="K61" i="12"/>
  <c r="J60" i="12"/>
  <c r="I60" i="12"/>
  <c r="H60" i="12"/>
  <c r="G60" i="12"/>
  <c r="F60" i="12"/>
  <c r="E60" i="12"/>
  <c r="D60" i="12"/>
  <c r="C60" i="12"/>
  <c r="B60" i="12"/>
  <c r="K59" i="12"/>
  <c r="M59" i="12" s="1"/>
  <c r="K58" i="12"/>
  <c r="M58" i="12" s="1"/>
  <c r="K57" i="12"/>
  <c r="M57" i="12" s="1"/>
  <c r="K56" i="12"/>
  <c r="M56" i="12" s="1"/>
  <c r="K55" i="12"/>
  <c r="M55" i="12" s="1"/>
  <c r="J55" i="12"/>
  <c r="M54" i="12"/>
  <c r="K54" i="12"/>
  <c r="M53" i="12"/>
  <c r="K53" i="12"/>
  <c r="M52" i="12"/>
  <c r="K52" i="12"/>
  <c r="M51" i="12"/>
  <c r="K51" i="12"/>
  <c r="M50" i="12"/>
  <c r="K50" i="12"/>
  <c r="M49" i="12"/>
  <c r="K49" i="12"/>
  <c r="M48" i="12"/>
  <c r="K48" i="12"/>
  <c r="K60" i="12" s="1"/>
  <c r="M60" i="12" s="1"/>
  <c r="J47" i="12"/>
  <c r="I47" i="12"/>
  <c r="F47" i="12"/>
  <c r="E47" i="12"/>
  <c r="D47" i="12"/>
  <c r="C47" i="12"/>
  <c r="B47" i="12"/>
  <c r="K46" i="12"/>
  <c r="M46" i="12" s="1"/>
  <c r="K45" i="12"/>
  <c r="M45" i="12" s="1"/>
  <c r="G45" i="12"/>
  <c r="G47" i="12" s="1"/>
  <c r="H44" i="12"/>
  <c r="H47" i="12" s="1"/>
  <c r="K43" i="12"/>
  <c r="M43" i="12" s="1"/>
  <c r="K42" i="12"/>
  <c r="M42" i="12" s="1"/>
  <c r="K41" i="12"/>
  <c r="M41" i="12" s="1"/>
  <c r="K40" i="12"/>
  <c r="E39" i="12"/>
  <c r="B39" i="12"/>
  <c r="M38" i="12"/>
  <c r="K38" i="12"/>
  <c r="J38" i="12"/>
  <c r="F38" i="12"/>
  <c r="L38" i="12" s="1"/>
  <c r="L37" i="12"/>
  <c r="K37" i="12"/>
  <c r="M37" i="12" s="1"/>
  <c r="M36" i="12"/>
  <c r="L36" i="12"/>
  <c r="K36" i="12"/>
  <c r="L35" i="12"/>
  <c r="J35" i="12"/>
  <c r="K35" i="12" s="1"/>
  <c r="M35" i="12" s="1"/>
  <c r="F35" i="12"/>
  <c r="K34" i="12"/>
  <c r="J34" i="12"/>
  <c r="G34" i="12"/>
  <c r="M34" i="12" s="1"/>
  <c r="C34" i="12"/>
  <c r="F34" i="12" s="1"/>
  <c r="L34" i="12" s="1"/>
  <c r="D39" i="12"/>
  <c r="M32" i="12"/>
  <c r="K32" i="12"/>
  <c r="G32" i="12"/>
  <c r="F32" i="12"/>
  <c r="L32" i="12" s="1"/>
  <c r="L31" i="12"/>
  <c r="K31" i="12"/>
  <c r="M31" i="12" s="1"/>
  <c r="G31" i="12"/>
  <c r="F31" i="12"/>
  <c r="L30" i="12"/>
  <c r="K30" i="12"/>
  <c r="M30" i="12" s="1"/>
  <c r="G30" i="12"/>
  <c r="L29" i="12"/>
  <c r="K29" i="12"/>
  <c r="M29" i="12" s="1"/>
  <c r="G29" i="12"/>
  <c r="K28" i="12"/>
  <c r="M28" i="12" s="1"/>
  <c r="G28" i="12"/>
  <c r="F28" i="12"/>
  <c r="L28" i="12" s="1"/>
  <c r="J27" i="12"/>
  <c r="K27" i="12" s="1"/>
  <c r="F27" i="12"/>
  <c r="L27" i="12" s="1"/>
  <c r="L26" i="12"/>
  <c r="K26" i="12"/>
  <c r="M26" i="12" s="1"/>
  <c r="G26" i="12"/>
  <c r="F26" i="12"/>
  <c r="K25" i="12"/>
  <c r="M25" i="12" s="1"/>
  <c r="G25" i="12"/>
  <c r="F25" i="12"/>
  <c r="L25" i="12" s="1"/>
  <c r="L24" i="12"/>
  <c r="K24" i="12"/>
  <c r="G24" i="12"/>
  <c r="M24" i="12" s="1"/>
  <c r="F24" i="12"/>
  <c r="J23" i="12"/>
  <c r="H23" i="12"/>
  <c r="K23" i="12" s="1"/>
  <c r="F23" i="12"/>
  <c r="L23" i="12" s="1"/>
  <c r="C23" i="12"/>
  <c r="G23" i="12" s="1"/>
  <c r="J22" i="12"/>
  <c r="J39" i="12" s="1"/>
  <c r="I22" i="12"/>
  <c r="K22" i="12" s="1"/>
  <c r="H22" i="12"/>
  <c r="H39" i="12" s="1"/>
  <c r="G22" i="12"/>
  <c r="F22" i="12"/>
  <c r="L22" i="12" s="1"/>
  <c r="H21" i="12"/>
  <c r="E21" i="12"/>
  <c r="D21" i="12"/>
  <c r="C21" i="12"/>
  <c r="B21" i="12"/>
  <c r="J20" i="12"/>
  <c r="K20" i="12" s="1"/>
  <c r="M20" i="12" s="1"/>
  <c r="G20" i="12"/>
  <c r="F20" i="12"/>
  <c r="L20" i="12" s="1"/>
  <c r="L19" i="12"/>
  <c r="K19" i="12"/>
  <c r="M19" i="12" s="1"/>
  <c r="G19" i="12"/>
  <c r="F19" i="12"/>
  <c r="K18" i="12"/>
  <c r="M18" i="12" s="1"/>
  <c r="G18" i="12"/>
  <c r="F18" i="12"/>
  <c r="L18" i="12" s="1"/>
  <c r="L17" i="12"/>
  <c r="K17" i="12"/>
  <c r="G17" i="12"/>
  <c r="M17" i="12" s="1"/>
  <c r="L16" i="12"/>
  <c r="K16" i="12"/>
  <c r="G16" i="12"/>
  <c r="M16" i="12" s="1"/>
  <c r="L15" i="12"/>
  <c r="K15" i="12"/>
  <c r="G15" i="12"/>
  <c r="M15" i="12" s="1"/>
  <c r="F15" i="12"/>
  <c r="K14" i="12"/>
  <c r="G14" i="12"/>
  <c r="F14" i="12"/>
  <c r="L14" i="12" s="1"/>
  <c r="L13" i="12"/>
  <c r="K13" i="12"/>
  <c r="G13" i="12"/>
  <c r="M13" i="12" s="1"/>
  <c r="F13" i="12"/>
  <c r="M12" i="12"/>
  <c r="K12" i="12"/>
  <c r="G12" i="12"/>
  <c r="F12" i="12"/>
  <c r="L12" i="12" s="1"/>
  <c r="L11" i="12"/>
  <c r="K11" i="12"/>
  <c r="M11" i="12" s="1"/>
  <c r="G11" i="12"/>
  <c r="F11" i="12"/>
  <c r="K10" i="12"/>
  <c r="M10" i="12" s="1"/>
  <c r="J10" i="12"/>
  <c r="H10" i="12"/>
  <c r="G10" i="12"/>
  <c r="F10" i="12"/>
  <c r="L10" i="12" s="1"/>
  <c r="J9" i="12"/>
  <c r="J21" i="12" s="1"/>
  <c r="I9" i="12"/>
  <c r="I21" i="12" s="1"/>
  <c r="H9" i="12"/>
  <c r="K9" i="12" s="1"/>
  <c r="G9" i="12"/>
  <c r="F9" i="12"/>
  <c r="L9" i="12" s="1"/>
  <c r="B98" i="12" l="1"/>
  <c r="E98" i="12"/>
  <c r="E100" i="12" s="1"/>
  <c r="M17" i="13"/>
  <c r="M11" i="13"/>
  <c r="K22" i="13"/>
  <c r="K35" i="13" s="1"/>
  <c r="M29" i="13"/>
  <c r="M18" i="13"/>
  <c r="M19" i="13"/>
  <c r="M31" i="13"/>
  <c r="M30" i="13"/>
  <c r="K76" i="13"/>
  <c r="M76" i="13" s="1"/>
  <c r="K40" i="13"/>
  <c r="M40" i="13" s="1"/>
  <c r="K14" i="13"/>
  <c r="M14" i="13" s="1"/>
  <c r="K84" i="13"/>
  <c r="M84" i="13" s="1"/>
  <c r="K88" i="13"/>
  <c r="M88" i="13" s="1"/>
  <c r="K9" i="13"/>
  <c r="M16" i="13"/>
  <c r="M67" i="13"/>
  <c r="J21" i="13"/>
  <c r="K10" i="13"/>
  <c r="M10" i="13" s="1"/>
  <c r="M12" i="13"/>
  <c r="M15" i="13"/>
  <c r="K20" i="13"/>
  <c r="M20" i="13" s="1"/>
  <c r="M32" i="13"/>
  <c r="M13" i="13"/>
  <c r="M85" i="13"/>
  <c r="K66" i="13"/>
  <c r="B94" i="13"/>
  <c r="B96" i="13" s="1"/>
  <c r="M28" i="13"/>
  <c r="M27" i="13"/>
  <c r="M26" i="13"/>
  <c r="M25" i="13"/>
  <c r="C94" i="13"/>
  <c r="C96" i="13" s="1"/>
  <c r="M24" i="13"/>
  <c r="E94" i="13"/>
  <c r="E96" i="13" s="1"/>
  <c r="F35" i="13"/>
  <c r="F94" i="13" s="1"/>
  <c r="M23" i="13"/>
  <c r="G21" i="13"/>
  <c r="D94" i="13"/>
  <c r="D96" i="13" s="1"/>
  <c r="K56" i="13"/>
  <c r="M56" i="13" s="1"/>
  <c r="I21" i="13"/>
  <c r="F21" i="13"/>
  <c r="F22" i="13"/>
  <c r="L22" i="13" s="1"/>
  <c r="F27" i="13"/>
  <c r="L27" i="13" s="1"/>
  <c r="I35" i="13"/>
  <c r="I94" i="13" s="1"/>
  <c r="M44" i="13"/>
  <c r="J56" i="13"/>
  <c r="M57" i="13"/>
  <c r="G59" i="13"/>
  <c r="G66" i="13" s="1"/>
  <c r="M66" i="13" s="1"/>
  <c r="M77" i="13"/>
  <c r="K92" i="13"/>
  <c r="H35" i="13"/>
  <c r="H94" i="13" s="1"/>
  <c r="H96" i="13" s="1"/>
  <c r="G22" i="13"/>
  <c r="G35" i="13" s="1"/>
  <c r="J35" i="13"/>
  <c r="M41" i="13"/>
  <c r="M27" i="12"/>
  <c r="B100" i="12"/>
  <c r="M14" i="12"/>
  <c r="G21" i="12"/>
  <c r="D98" i="12"/>
  <c r="D100" i="12" s="1"/>
  <c r="H98" i="12"/>
  <c r="H100" i="12" s="1"/>
  <c r="K21" i="12"/>
  <c r="M9" i="12"/>
  <c r="K39" i="12"/>
  <c r="M22" i="12"/>
  <c r="M23" i="12"/>
  <c r="J98" i="12"/>
  <c r="J100" i="12" s="1"/>
  <c r="I39" i="12"/>
  <c r="I98" i="12" s="1"/>
  <c r="I100" i="12" s="1"/>
  <c r="M40" i="12"/>
  <c r="K44" i="12"/>
  <c r="M44" i="12" s="1"/>
  <c r="K80" i="12"/>
  <c r="M80" i="12" s="1"/>
  <c r="M89" i="12"/>
  <c r="M96" i="12"/>
  <c r="G70" i="12"/>
  <c r="F21" i="12"/>
  <c r="C39" i="12"/>
  <c r="F39" i="12" s="1"/>
  <c r="F98" i="12" s="1"/>
  <c r="F100" i="12" s="1"/>
  <c r="G39" i="12"/>
  <c r="I105" i="10"/>
  <c r="M99" i="10"/>
  <c r="K99" i="10"/>
  <c r="K97" i="10"/>
  <c r="M97" i="10" s="1"/>
  <c r="J96" i="10"/>
  <c r="I96" i="10"/>
  <c r="H96" i="10"/>
  <c r="G96" i="10"/>
  <c r="F96" i="10"/>
  <c r="E96" i="10"/>
  <c r="E98" i="10" s="1"/>
  <c r="D96" i="10"/>
  <c r="C96" i="10"/>
  <c r="B96" i="10"/>
  <c r="M95" i="10"/>
  <c r="K95" i="10"/>
  <c r="M94" i="10"/>
  <c r="K94" i="10"/>
  <c r="M93" i="10"/>
  <c r="K93" i="10"/>
  <c r="K96" i="10" s="1"/>
  <c r="J92" i="10"/>
  <c r="I92" i="10"/>
  <c r="H92" i="10"/>
  <c r="G92" i="10"/>
  <c r="F92" i="10"/>
  <c r="E92" i="10"/>
  <c r="D92" i="10"/>
  <c r="C92" i="10"/>
  <c r="B92" i="10"/>
  <c r="B98" i="10" s="1"/>
  <c r="B100" i="10" s="1"/>
  <c r="M91" i="10"/>
  <c r="K91" i="10"/>
  <c r="K90" i="10"/>
  <c r="M90" i="10" s="1"/>
  <c r="M89" i="10"/>
  <c r="K89" i="10"/>
  <c r="K92" i="10" s="1"/>
  <c r="M92" i="10" s="1"/>
  <c r="K88" i="10"/>
  <c r="M88" i="10" s="1"/>
  <c r="J88" i="10"/>
  <c r="I88" i="10"/>
  <c r="H88" i="10"/>
  <c r="G88" i="10"/>
  <c r="F88" i="10"/>
  <c r="E88" i="10"/>
  <c r="D88" i="10"/>
  <c r="C88" i="10"/>
  <c r="B88" i="10"/>
  <c r="M87" i="10"/>
  <c r="K87" i="10"/>
  <c r="M86" i="10"/>
  <c r="K86" i="10"/>
  <c r="M85" i="10"/>
  <c r="K85" i="10"/>
  <c r="M84" i="10"/>
  <c r="K84" i="10"/>
  <c r="M83" i="10"/>
  <c r="K83" i="10"/>
  <c r="M82" i="10"/>
  <c r="K82" i="10"/>
  <c r="M81" i="10"/>
  <c r="K81" i="10"/>
  <c r="J80" i="10"/>
  <c r="I80" i="10"/>
  <c r="H80" i="10"/>
  <c r="G80" i="10"/>
  <c r="F80" i="10"/>
  <c r="E80" i="10"/>
  <c r="D80" i="10"/>
  <c r="C80" i="10"/>
  <c r="B80" i="10"/>
  <c r="K79" i="10"/>
  <c r="M79" i="10" s="1"/>
  <c r="M78" i="10"/>
  <c r="K78" i="10"/>
  <c r="K77" i="10"/>
  <c r="M77" i="10" s="1"/>
  <c r="M76" i="10"/>
  <c r="K76" i="10"/>
  <c r="K75" i="10"/>
  <c r="M75" i="10" s="1"/>
  <c r="M74" i="10"/>
  <c r="K74" i="10"/>
  <c r="K73" i="10"/>
  <c r="M73" i="10" s="1"/>
  <c r="M72" i="10"/>
  <c r="K72" i="10"/>
  <c r="K71" i="10"/>
  <c r="M71" i="10" s="1"/>
  <c r="J70" i="10"/>
  <c r="I70" i="10"/>
  <c r="H70" i="10"/>
  <c r="F70" i="10"/>
  <c r="E70" i="10"/>
  <c r="D70" i="10"/>
  <c r="C70" i="10"/>
  <c r="B70" i="10"/>
  <c r="M69" i="10"/>
  <c r="K69" i="10"/>
  <c r="M68" i="10"/>
  <c r="K68" i="10"/>
  <c r="M67" i="10"/>
  <c r="K67" i="10"/>
  <c r="M66" i="10"/>
  <c r="K66" i="10"/>
  <c r="M65" i="10"/>
  <c r="K65" i="10"/>
  <c r="M64" i="10"/>
  <c r="K64" i="10"/>
  <c r="M63" i="10"/>
  <c r="K63" i="10"/>
  <c r="G63" i="10"/>
  <c r="G70" i="10" s="1"/>
  <c r="D63" i="10"/>
  <c r="M62" i="10"/>
  <c r="K62" i="10"/>
  <c r="K70" i="10" s="1"/>
  <c r="M61" i="10"/>
  <c r="K61" i="10"/>
  <c r="I60" i="10"/>
  <c r="H60" i="10"/>
  <c r="G60" i="10"/>
  <c r="F60" i="10"/>
  <c r="E60" i="10"/>
  <c r="D60" i="10"/>
  <c r="C60" i="10"/>
  <c r="B60" i="10"/>
  <c r="K59" i="10"/>
  <c r="M59" i="10" s="1"/>
  <c r="M58" i="10"/>
  <c r="K58" i="10"/>
  <c r="K57" i="10"/>
  <c r="M57" i="10" s="1"/>
  <c r="M56" i="10"/>
  <c r="K56" i="10"/>
  <c r="K55" i="10"/>
  <c r="M55" i="10" s="1"/>
  <c r="J55" i="10"/>
  <c r="J60" i="10" s="1"/>
  <c r="M54" i="10"/>
  <c r="K54" i="10"/>
  <c r="M53" i="10"/>
  <c r="K53" i="10"/>
  <c r="M52" i="10"/>
  <c r="K52" i="10"/>
  <c r="M51" i="10"/>
  <c r="K51" i="10"/>
  <c r="M50" i="10"/>
  <c r="K50" i="10"/>
  <c r="M49" i="10"/>
  <c r="K49" i="10"/>
  <c r="K60" i="10" s="1"/>
  <c r="M60" i="10" s="1"/>
  <c r="M48" i="10"/>
  <c r="K48" i="10"/>
  <c r="J47" i="10"/>
  <c r="I47" i="10"/>
  <c r="H47" i="10"/>
  <c r="G47" i="10"/>
  <c r="F47" i="10"/>
  <c r="E47" i="10"/>
  <c r="D47" i="10"/>
  <c r="C47" i="10"/>
  <c r="B47" i="10"/>
  <c r="K46" i="10"/>
  <c r="M46" i="10" s="1"/>
  <c r="M45" i="10"/>
  <c r="K45" i="10"/>
  <c r="G45" i="10"/>
  <c r="M44" i="10"/>
  <c r="K44" i="10"/>
  <c r="H44" i="10"/>
  <c r="K43" i="10"/>
  <c r="M43" i="10" s="1"/>
  <c r="M42" i="10"/>
  <c r="K42" i="10"/>
  <c r="K41" i="10"/>
  <c r="M41" i="10" s="1"/>
  <c r="M40" i="10"/>
  <c r="K40" i="10"/>
  <c r="E39" i="10"/>
  <c r="B39" i="10"/>
  <c r="K38" i="10"/>
  <c r="M38" i="10" s="1"/>
  <c r="J38" i="10"/>
  <c r="F38" i="10"/>
  <c r="L38" i="10" s="1"/>
  <c r="L37" i="10"/>
  <c r="K37" i="10"/>
  <c r="M37" i="10" s="1"/>
  <c r="L36" i="10"/>
  <c r="K36" i="10"/>
  <c r="M36" i="10" s="1"/>
  <c r="J35" i="10"/>
  <c r="K35" i="10" s="1"/>
  <c r="M35" i="10" s="1"/>
  <c r="F35" i="10"/>
  <c r="L35" i="10" s="1"/>
  <c r="K34" i="10"/>
  <c r="J34" i="10"/>
  <c r="C34" i="10"/>
  <c r="F34" i="10" s="1"/>
  <c r="L34" i="10" s="1"/>
  <c r="J33" i="10"/>
  <c r="I33" i="10"/>
  <c r="H33" i="10"/>
  <c r="K33" i="10" s="1"/>
  <c r="F33" i="10"/>
  <c r="L33" i="10" s="1"/>
  <c r="D33" i="10"/>
  <c r="D39" i="10" s="1"/>
  <c r="K32" i="10"/>
  <c r="M32" i="10" s="1"/>
  <c r="G32" i="10"/>
  <c r="F32" i="10"/>
  <c r="L32" i="10" s="1"/>
  <c r="L31" i="10"/>
  <c r="K31" i="10"/>
  <c r="M31" i="10" s="1"/>
  <c r="G31" i="10"/>
  <c r="F31" i="10"/>
  <c r="M30" i="10"/>
  <c r="L30" i="10"/>
  <c r="K30" i="10"/>
  <c r="G30" i="10"/>
  <c r="M29" i="10"/>
  <c r="L29" i="10"/>
  <c r="K29" i="10"/>
  <c r="G29" i="10"/>
  <c r="M28" i="10"/>
  <c r="K28" i="10"/>
  <c r="G28" i="10"/>
  <c r="F28" i="10"/>
  <c r="L28" i="10" s="1"/>
  <c r="J27" i="10"/>
  <c r="K27" i="10" s="1"/>
  <c r="M27" i="10" s="1"/>
  <c r="G27" i="10"/>
  <c r="F27" i="10"/>
  <c r="L27" i="10" s="1"/>
  <c r="L26" i="10"/>
  <c r="K26" i="10"/>
  <c r="M26" i="10" s="1"/>
  <c r="G26" i="10"/>
  <c r="F26" i="10"/>
  <c r="M25" i="10"/>
  <c r="K25" i="10"/>
  <c r="G25" i="10"/>
  <c r="F25" i="10"/>
  <c r="L25" i="10" s="1"/>
  <c r="K24" i="10"/>
  <c r="G24" i="10"/>
  <c r="M24" i="10" s="1"/>
  <c r="F24" i="10"/>
  <c r="L24" i="10" s="1"/>
  <c r="K23" i="10"/>
  <c r="J23" i="10"/>
  <c r="H23" i="10"/>
  <c r="F23" i="10"/>
  <c r="L23" i="10" s="1"/>
  <c r="C23" i="10"/>
  <c r="G23" i="10" s="1"/>
  <c r="K22" i="10"/>
  <c r="M22" i="10" s="1"/>
  <c r="J22" i="10"/>
  <c r="J39" i="10" s="1"/>
  <c r="I22" i="10"/>
  <c r="I39" i="10" s="1"/>
  <c r="H22" i="10"/>
  <c r="H39" i="10" s="1"/>
  <c r="G22" i="10"/>
  <c r="F22" i="10"/>
  <c r="L22" i="10" s="1"/>
  <c r="I21" i="10"/>
  <c r="E21" i="10"/>
  <c r="D21" i="10"/>
  <c r="C21" i="10"/>
  <c r="B21" i="10"/>
  <c r="J20" i="10"/>
  <c r="K20" i="10" s="1"/>
  <c r="M20" i="10" s="1"/>
  <c r="G20" i="10"/>
  <c r="F20" i="10"/>
  <c r="L20" i="10" s="1"/>
  <c r="L19" i="10"/>
  <c r="K19" i="10"/>
  <c r="M19" i="10" s="1"/>
  <c r="G19" i="10"/>
  <c r="F19" i="10"/>
  <c r="M18" i="10"/>
  <c r="K18" i="10"/>
  <c r="G18" i="10"/>
  <c r="F18" i="10"/>
  <c r="L18" i="10" s="1"/>
  <c r="L17" i="10"/>
  <c r="K17" i="10"/>
  <c r="G17" i="10"/>
  <c r="M17" i="10" s="1"/>
  <c r="L16" i="10"/>
  <c r="K16" i="10"/>
  <c r="G16" i="10"/>
  <c r="M16" i="10" s="1"/>
  <c r="K15" i="10"/>
  <c r="G15" i="10"/>
  <c r="M15" i="10" s="1"/>
  <c r="F15" i="10"/>
  <c r="L15" i="10" s="1"/>
  <c r="K14" i="10"/>
  <c r="G14" i="10"/>
  <c r="F14" i="10"/>
  <c r="L14" i="10" s="1"/>
  <c r="K13" i="10"/>
  <c r="G13" i="10"/>
  <c r="M13" i="10" s="1"/>
  <c r="F13" i="10"/>
  <c r="L13" i="10" s="1"/>
  <c r="K12" i="10"/>
  <c r="M12" i="10" s="1"/>
  <c r="G12" i="10"/>
  <c r="F12" i="10"/>
  <c r="L12" i="10" s="1"/>
  <c r="L11" i="10"/>
  <c r="K11" i="10"/>
  <c r="M11" i="10" s="1"/>
  <c r="G11" i="10"/>
  <c r="F11" i="10"/>
  <c r="L10" i="10"/>
  <c r="J10" i="10"/>
  <c r="H10" i="10"/>
  <c r="K10" i="10" s="1"/>
  <c r="M10" i="10" s="1"/>
  <c r="G10" i="10"/>
  <c r="F10" i="10"/>
  <c r="L9" i="10"/>
  <c r="J9" i="10"/>
  <c r="I9" i="10"/>
  <c r="H9" i="10"/>
  <c r="K9" i="10" s="1"/>
  <c r="G9" i="10"/>
  <c r="F9" i="10"/>
  <c r="I96" i="13" l="1"/>
  <c r="C98" i="12"/>
  <c r="C100" i="12" s="1"/>
  <c r="K21" i="13"/>
  <c r="M21" i="13" s="1"/>
  <c r="K43" i="13"/>
  <c r="M43" i="13" s="1"/>
  <c r="M9" i="13"/>
  <c r="M22" i="13"/>
  <c r="F96" i="13"/>
  <c r="J94" i="13"/>
  <c r="J96" i="13" s="1"/>
  <c r="G94" i="13"/>
  <c r="G96" i="13" s="1"/>
  <c r="M35" i="13"/>
  <c r="M59" i="13"/>
  <c r="K94" i="13"/>
  <c r="M92" i="13"/>
  <c r="G98" i="12"/>
  <c r="G100" i="12" s="1"/>
  <c r="M21" i="12"/>
  <c r="M70" i="12"/>
  <c r="K47" i="12"/>
  <c r="M47" i="12" s="1"/>
  <c r="M39" i="12"/>
  <c r="M14" i="10"/>
  <c r="G21" i="10"/>
  <c r="E100" i="10"/>
  <c r="M96" i="10"/>
  <c r="M70" i="10"/>
  <c r="M23" i="10"/>
  <c r="D98" i="10"/>
  <c r="D100" i="10" s="1"/>
  <c r="H98" i="10"/>
  <c r="F98" i="10"/>
  <c r="J98" i="10"/>
  <c r="I98" i="10"/>
  <c r="I100" i="10" s="1"/>
  <c r="K21" i="10"/>
  <c r="M9" i="10"/>
  <c r="C39" i="10"/>
  <c r="F39" i="10" s="1"/>
  <c r="K39" i="10"/>
  <c r="H21" i="10"/>
  <c r="G34" i="10"/>
  <c r="M34" i="10" s="1"/>
  <c r="J21" i="10"/>
  <c r="K47" i="10"/>
  <c r="M47" i="10" s="1"/>
  <c r="K80" i="10"/>
  <c r="M80" i="10" s="1"/>
  <c r="F21" i="10"/>
  <c r="G33" i="10"/>
  <c r="M33" i="10" s="1"/>
  <c r="H9" i="8"/>
  <c r="C22" i="8"/>
  <c r="J9" i="8"/>
  <c r="I9" i="8"/>
  <c r="J20" i="8"/>
  <c r="I20" i="8"/>
  <c r="H19" i="8"/>
  <c r="K18" i="8"/>
  <c r="G18" i="8"/>
  <c r="K96" i="13" l="1"/>
  <c r="M94" i="13"/>
  <c r="H100" i="10"/>
  <c r="K98" i="12"/>
  <c r="F100" i="10"/>
  <c r="M21" i="10"/>
  <c r="G39" i="10"/>
  <c r="G98" i="10" s="1"/>
  <c r="G100" i="10" s="1"/>
  <c r="J100" i="10"/>
  <c r="C98" i="10"/>
  <c r="C100" i="10" s="1"/>
  <c r="K98" i="10"/>
  <c r="J14" i="8"/>
  <c r="I14" i="8"/>
  <c r="J10" i="8"/>
  <c r="I10" i="8"/>
  <c r="H10" i="8"/>
  <c r="K100" i="12" l="1"/>
  <c r="M98" i="12"/>
  <c r="K100" i="10"/>
  <c r="M98" i="10"/>
  <c r="M39" i="10"/>
  <c r="C27" i="8"/>
  <c r="G27" i="8"/>
  <c r="J27" i="8"/>
  <c r="I105" i="8" l="1"/>
  <c r="M99" i="8"/>
  <c r="K99" i="8"/>
  <c r="K97" i="8"/>
  <c r="M97" i="8" s="1"/>
  <c r="J96" i="8"/>
  <c r="I96" i="8"/>
  <c r="H96" i="8"/>
  <c r="G96" i="8"/>
  <c r="F96" i="8"/>
  <c r="E96" i="8"/>
  <c r="D96" i="8"/>
  <c r="D98" i="8" s="1"/>
  <c r="C96" i="8"/>
  <c r="B96" i="8"/>
  <c r="K95" i="8"/>
  <c r="M95" i="8" s="1"/>
  <c r="M94" i="8"/>
  <c r="K94" i="8"/>
  <c r="K93" i="8"/>
  <c r="M93" i="8" s="1"/>
  <c r="J92" i="8"/>
  <c r="I92" i="8"/>
  <c r="H92" i="8"/>
  <c r="G92" i="8"/>
  <c r="F92" i="8"/>
  <c r="E92" i="8"/>
  <c r="D92" i="8"/>
  <c r="C92" i="8"/>
  <c r="B92" i="8"/>
  <c r="B98" i="8" s="1"/>
  <c r="B100" i="8" s="1"/>
  <c r="K91" i="8"/>
  <c r="M91" i="8" s="1"/>
  <c r="K90" i="8"/>
  <c r="M90" i="8" s="1"/>
  <c r="K89" i="8"/>
  <c r="K92" i="8" s="1"/>
  <c r="M92" i="8" s="1"/>
  <c r="J88" i="8"/>
  <c r="I88" i="8"/>
  <c r="H88" i="8"/>
  <c r="G88" i="8"/>
  <c r="F88" i="8"/>
  <c r="E88" i="8"/>
  <c r="D88" i="8"/>
  <c r="C88" i="8"/>
  <c r="B88" i="8"/>
  <c r="M87" i="8"/>
  <c r="K87" i="8"/>
  <c r="K86" i="8"/>
  <c r="M86" i="8" s="1"/>
  <c r="M85" i="8"/>
  <c r="K85" i="8"/>
  <c r="K84" i="8"/>
  <c r="M84" i="8" s="1"/>
  <c r="M83" i="8"/>
  <c r="K83" i="8"/>
  <c r="K82" i="8"/>
  <c r="K88" i="8" s="1"/>
  <c r="M88" i="8" s="1"/>
  <c r="M81" i="8"/>
  <c r="K81" i="8"/>
  <c r="J80" i="8"/>
  <c r="I80" i="8"/>
  <c r="H80" i="8"/>
  <c r="G80" i="8"/>
  <c r="F80" i="8"/>
  <c r="E80" i="8"/>
  <c r="D80" i="8"/>
  <c r="C80" i="8"/>
  <c r="B80" i="8"/>
  <c r="K79" i="8"/>
  <c r="M79" i="8" s="1"/>
  <c r="K78" i="8"/>
  <c r="M78" i="8" s="1"/>
  <c r="K77" i="8"/>
  <c r="M77" i="8" s="1"/>
  <c r="K76" i="8"/>
  <c r="M76" i="8" s="1"/>
  <c r="K75" i="8"/>
  <c r="M75" i="8" s="1"/>
  <c r="K74" i="8"/>
  <c r="M74" i="8" s="1"/>
  <c r="K73" i="8"/>
  <c r="M73" i="8" s="1"/>
  <c r="K72" i="8"/>
  <c r="M72" i="8" s="1"/>
  <c r="K71" i="8"/>
  <c r="M71" i="8" s="1"/>
  <c r="J70" i="8"/>
  <c r="I70" i="8"/>
  <c r="H70" i="8"/>
  <c r="F70" i="8"/>
  <c r="E70" i="8"/>
  <c r="D70" i="8"/>
  <c r="C70" i="8"/>
  <c r="B70" i="8"/>
  <c r="K69" i="8"/>
  <c r="M69" i="8" s="1"/>
  <c r="M68" i="8"/>
  <c r="K68" i="8"/>
  <c r="K67" i="8"/>
  <c r="M67" i="8" s="1"/>
  <c r="M66" i="8"/>
  <c r="K66" i="8"/>
  <c r="K65" i="8"/>
  <c r="M65" i="8" s="1"/>
  <c r="M64" i="8"/>
  <c r="K64" i="8"/>
  <c r="K63" i="8"/>
  <c r="M63" i="8" s="1"/>
  <c r="G63" i="8"/>
  <c r="G70" i="8" s="1"/>
  <c r="D63" i="8"/>
  <c r="K62" i="8"/>
  <c r="M62" i="8" s="1"/>
  <c r="M61" i="8"/>
  <c r="K61" i="8"/>
  <c r="I60" i="8"/>
  <c r="H60" i="8"/>
  <c r="G60" i="8"/>
  <c r="F60" i="8"/>
  <c r="E60" i="8"/>
  <c r="D60" i="8"/>
  <c r="C60" i="8"/>
  <c r="B60" i="8"/>
  <c r="K59" i="8"/>
  <c r="M59" i="8" s="1"/>
  <c r="K58" i="8"/>
  <c r="M58" i="8" s="1"/>
  <c r="K57" i="8"/>
  <c r="M57" i="8" s="1"/>
  <c r="K56" i="8"/>
  <c r="M56" i="8" s="1"/>
  <c r="J55" i="8"/>
  <c r="K55" i="8" s="1"/>
  <c r="M55" i="8" s="1"/>
  <c r="M54" i="8"/>
  <c r="K54" i="8"/>
  <c r="K53" i="8"/>
  <c r="M53" i="8" s="1"/>
  <c r="M52" i="8"/>
  <c r="K52" i="8"/>
  <c r="K51" i="8"/>
  <c r="M51" i="8" s="1"/>
  <c r="M50" i="8"/>
  <c r="K50" i="8"/>
  <c r="K49" i="8"/>
  <c r="M49" i="8" s="1"/>
  <c r="M48" i="8"/>
  <c r="K48" i="8"/>
  <c r="J47" i="8"/>
  <c r="I47" i="8"/>
  <c r="G47" i="8"/>
  <c r="F47" i="8"/>
  <c r="E47" i="8"/>
  <c r="D47" i="8"/>
  <c r="C47" i="8"/>
  <c r="B47" i="8"/>
  <c r="K46" i="8"/>
  <c r="M46" i="8" s="1"/>
  <c r="K45" i="8"/>
  <c r="M45" i="8" s="1"/>
  <c r="G45" i="8"/>
  <c r="H44" i="8"/>
  <c r="H47" i="8" s="1"/>
  <c r="K43" i="8"/>
  <c r="M43" i="8" s="1"/>
  <c r="K42" i="8"/>
  <c r="M42" i="8" s="1"/>
  <c r="K41" i="8"/>
  <c r="M41" i="8" s="1"/>
  <c r="K40" i="8"/>
  <c r="E39" i="8"/>
  <c r="B39" i="8"/>
  <c r="K38" i="8"/>
  <c r="M38" i="8" s="1"/>
  <c r="J38" i="8"/>
  <c r="F38" i="8"/>
  <c r="L38" i="8" s="1"/>
  <c r="L37" i="8"/>
  <c r="K37" i="8"/>
  <c r="M37" i="8" s="1"/>
  <c r="L36" i="8"/>
  <c r="K36" i="8"/>
  <c r="M36" i="8" s="1"/>
  <c r="J35" i="8"/>
  <c r="K35" i="8" s="1"/>
  <c r="M35" i="8" s="1"/>
  <c r="F35" i="8"/>
  <c r="L35" i="8" s="1"/>
  <c r="K34" i="8"/>
  <c r="J34" i="8"/>
  <c r="C34" i="8"/>
  <c r="F34" i="8" s="1"/>
  <c r="L34" i="8" s="1"/>
  <c r="J33" i="8"/>
  <c r="I33" i="8"/>
  <c r="H33" i="8"/>
  <c r="K33" i="8" s="1"/>
  <c r="F33" i="8"/>
  <c r="L33" i="8" s="1"/>
  <c r="D33" i="8"/>
  <c r="D39" i="8" s="1"/>
  <c r="K32" i="8"/>
  <c r="M32" i="8" s="1"/>
  <c r="G32" i="8"/>
  <c r="F32" i="8"/>
  <c r="L32" i="8" s="1"/>
  <c r="L31" i="8"/>
  <c r="K31" i="8"/>
  <c r="M31" i="8" s="1"/>
  <c r="G31" i="8"/>
  <c r="F31" i="8"/>
  <c r="M30" i="8"/>
  <c r="L30" i="8"/>
  <c r="K30" i="8"/>
  <c r="G30" i="8"/>
  <c r="M29" i="8"/>
  <c r="L29" i="8"/>
  <c r="K29" i="8"/>
  <c r="G29" i="8"/>
  <c r="M28" i="8"/>
  <c r="K28" i="8"/>
  <c r="G28" i="8"/>
  <c r="F28" i="8"/>
  <c r="L28" i="8" s="1"/>
  <c r="K27" i="8"/>
  <c r="M27" i="8" s="1"/>
  <c r="F27" i="8"/>
  <c r="L27" i="8" s="1"/>
  <c r="L26" i="8"/>
  <c r="K26" i="8"/>
  <c r="M26" i="8" s="1"/>
  <c r="G26" i="8"/>
  <c r="F26" i="8"/>
  <c r="M25" i="8"/>
  <c r="K25" i="8"/>
  <c r="G25" i="8"/>
  <c r="F25" i="8"/>
  <c r="L25" i="8" s="1"/>
  <c r="K24" i="8"/>
  <c r="G24" i="8"/>
  <c r="M24" i="8" s="1"/>
  <c r="F24" i="8"/>
  <c r="L24" i="8" s="1"/>
  <c r="K23" i="8"/>
  <c r="J23" i="8"/>
  <c r="H23" i="8"/>
  <c r="F23" i="8"/>
  <c r="L23" i="8" s="1"/>
  <c r="C23" i="8"/>
  <c r="G23" i="8" s="1"/>
  <c r="K22" i="8"/>
  <c r="J22" i="8"/>
  <c r="J39" i="8" s="1"/>
  <c r="I22" i="8"/>
  <c r="I39" i="8" s="1"/>
  <c r="H22" i="8"/>
  <c r="H39" i="8" s="1"/>
  <c r="G22" i="8"/>
  <c r="F22" i="8"/>
  <c r="L22" i="8" s="1"/>
  <c r="E21" i="8"/>
  <c r="D21" i="8"/>
  <c r="C21" i="8"/>
  <c r="B21" i="8"/>
  <c r="K20" i="8"/>
  <c r="G20" i="8"/>
  <c r="F20" i="8"/>
  <c r="L20" i="8" s="1"/>
  <c r="K19" i="8"/>
  <c r="G19" i="8"/>
  <c r="F19" i="8"/>
  <c r="L19" i="8" s="1"/>
  <c r="M18" i="8"/>
  <c r="L18" i="8"/>
  <c r="L17" i="8"/>
  <c r="K17" i="8"/>
  <c r="M17" i="8" s="1"/>
  <c r="G17" i="8"/>
  <c r="L16" i="8"/>
  <c r="K16" i="8"/>
  <c r="G16" i="8"/>
  <c r="K15" i="8"/>
  <c r="G15" i="8"/>
  <c r="F15" i="8"/>
  <c r="L15" i="8" s="1"/>
  <c r="K14" i="8"/>
  <c r="M14" i="8" s="1"/>
  <c r="G14" i="8"/>
  <c r="F14" i="8"/>
  <c r="L14" i="8" s="1"/>
  <c r="K13" i="8"/>
  <c r="G13" i="8"/>
  <c r="F13" i="8"/>
  <c r="L13" i="8" s="1"/>
  <c r="K12" i="8"/>
  <c r="M12" i="8" s="1"/>
  <c r="G12" i="8"/>
  <c r="F12" i="8"/>
  <c r="L12" i="8" s="1"/>
  <c r="K11" i="8"/>
  <c r="G11" i="8"/>
  <c r="F11" i="8"/>
  <c r="L11" i="8" s="1"/>
  <c r="K10" i="8"/>
  <c r="G10" i="8"/>
  <c r="F10" i="8"/>
  <c r="L10" i="8" s="1"/>
  <c r="K9" i="8"/>
  <c r="J21" i="8"/>
  <c r="I21" i="8"/>
  <c r="H21" i="8"/>
  <c r="G9" i="8"/>
  <c r="F9" i="8"/>
  <c r="J10" i="7"/>
  <c r="G10" i="7"/>
  <c r="J10" i="6"/>
  <c r="G10" i="6"/>
  <c r="E98" i="8" l="1"/>
  <c r="M19" i="8"/>
  <c r="D100" i="8"/>
  <c r="M16" i="8"/>
  <c r="M15" i="8"/>
  <c r="M13" i="8"/>
  <c r="M11" i="8"/>
  <c r="M20" i="8"/>
  <c r="E100" i="8"/>
  <c r="F21" i="8"/>
  <c r="G21" i="8"/>
  <c r="M10" i="8"/>
  <c r="L9" i="8"/>
  <c r="M23" i="8"/>
  <c r="K21" i="8"/>
  <c r="M21" i="8" s="1"/>
  <c r="M34" i="8"/>
  <c r="K39" i="8"/>
  <c r="H98" i="8"/>
  <c r="H100" i="8" s="1"/>
  <c r="K47" i="8"/>
  <c r="M47" i="8" s="1"/>
  <c r="I98" i="8"/>
  <c r="I100" i="8" s="1"/>
  <c r="M22" i="8"/>
  <c r="G34" i="8"/>
  <c r="J60" i="8"/>
  <c r="J98" i="8" s="1"/>
  <c r="J100" i="8" s="1"/>
  <c r="K70" i="8"/>
  <c r="M70" i="8" s="1"/>
  <c r="K96" i="8"/>
  <c r="M40" i="8"/>
  <c r="K44" i="8"/>
  <c r="M44" i="8" s="1"/>
  <c r="K60" i="8"/>
  <c r="M60" i="8" s="1"/>
  <c r="K80" i="8"/>
  <c r="M80" i="8" s="1"/>
  <c r="M89" i="8"/>
  <c r="C39" i="8"/>
  <c r="F39" i="8" s="1"/>
  <c r="F98" i="8" s="1"/>
  <c r="M82" i="8"/>
  <c r="M9" i="8"/>
  <c r="G33" i="8"/>
  <c r="G39" i="8" s="1"/>
  <c r="G98" i="8" s="1"/>
  <c r="H10" i="6"/>
  <c r="F100" i="8" l="1"/>
  <c r="G100" i="8"/>
  <c r="C98" i="8"/>
  <c r="C100" i="8" s="1"/>
  <c r="K98" i="8"/>
  <c r="M96" i="8"/>
  <c r="M39" i="8"/>
  <c r="M33" i="8"/>
  <c r="J23" i="6"/>
  <c r="H23" i="6"/>
  <c r="K100" i="8" l="1"/>
  <c r="M98" i="8"/>
  <c r="J14" i="7"/>
  <c r="J20" i="7"/>
  <c r="H9" i="7"/>
  <c r="H10" i="7" l="1"/>
  <c r="I9" i="7"/>
  <c r="I21" i="7"/>
  <c r="J9" i="7"/>
  <c r="D21" i="7"/>
  <c r="C21" i="7"/>
  <c r="B21" i="7"/>
  <c r="E21" i="7"/>
  <c r="J21" i="7" l="1"/>
  <c r="H21" i="7"/>
  <c r="K20" i="7"/>
  <c r="I105" i="7"/>
  <c r="M99" i="7"/>
  <c r="K99" i="7"/>
  <c r="K97" i="7"/>
  <c r="M97" i="7" s="1"/>
  <c r="J96" i="7"/>
  <c r="I96" i="7"/>
  <c r="H96" i="7"/>
  <c r="G96" i="7"/>
  <c r="F96" i="7"/>
  <c r="E96" i="7"/>
  <c r="E98" i="7" s="1"/>
  <c r="D96" i="7"/>
  <c r="C96" i="7"/>
  <c r="B96" i="7"/>
  <c r="B98" i="7" s="1"/>
  <c r="B100" i="7" s="1"/>
  <c r="K95" i="7"/>
  <c r="M95" i="7" s="1"/>
  <c r="M94" i="7"/>
  <c r="K94" i="7"/>
  <c r="K93" i="7"/>
  <c r="K96" i="7" s="1"/>
  <c r="J92" i="7"/>
  <c r="I92" i="7"/>
  <c r="H92" i="7"/>
  <c r="G92" i="7"/>
  <c r="F92" i="7"/>
  <c r="E92" i="7"/>
  <c r="D92" i="7"/>
  <c r="C92" i="7"/>
  <c r="B92" i="7"/>
  <c r="M91" i="7"/>
  <c r="K91" i="7"/>
  <c r="K90" i="7"/>
  <c r="M90" i="7" s="1"/>
  <c r="M89" i="7"/>
  <c r="K89" i="7"/>
  <c r="K92" i="7" s="1"/>
  <c r="M92" i="7" s="1"/>
  <c r="J88" i="7"/>
  <c r="I88" i="7"/>
  <c r="H88" i="7"/>
  <c r="G88" i="7"/>
  <c r="F88" i="7"/>
  <c r="E88" i="7"/>
  <c r="D88" i="7"/>
  <c r="C88" i="7"/>
  <c r="B88" i="7"/>
  <c r="M87" i="7"/>
  <c r="K87" i="7"/>
  <c r="K86" i="7"/>
  <c r="M86" i="7" s="1"/>
  <c r="M85" i="7"/>
  <c r="K85" i="7"/>
  <c r="K84" i="7"/>
  <c r="M84" i="7" s="1"/>
  <c r="M83" i="7"/>
  <c r="K83" i="7"/>
  <c r="K82" i="7"/>
  <c r="K88" i="7" s="1"/>
  <c r="M88" i="7" s="1"/>
  <c r="M81" i="7"/>
  <c r="K81" i="7"/>
  <c r="K80" i="7"/>
  <c r="M80" i="7" s="1"/>
  <c r="J80" i="7"/>
  <c r="I80" i="7"/>
  <c r="H80" i="7"/>
  <c r="G80" i="7"/>
  <c r="F80" i="7"/>
  <c r="E80" i="7"/>
  <c r="D80" i="7"/>
  <c r="C80" i="7"/>
  <c r="B80" i="7"/>
  <c r="K79" i="7"/>
  <c r="M79" i="7" s="1"/>
  <c r="M78" i="7"/>
  <c r="K78" i="7"/>
  <c r="K77" i="7"/>
  <c r="M77" i="7" s="1"/>
  <c r="M76" i="7"/>
  <c r="K76" i="7"/>
  <c r="K75" i="7"/>
  <c r="M75" i="7" s="1"/>
  <c r="M74" i="7"/>
  <c r="K74" i="7"/>
  <c r="K73" i="7"/>
  <c r="M73" i="7" s="1"/>
  <c r="M72" i="7"/>
  <c r="K72" i="7"/>
  <c r="K71" i="7"/>
  <c r="M71" i="7" s="1"/>
  <c r="J70" i="7"/>
  <c r="I70" i="7"/>
  <c r="H70" i="7"/>
  <c r="F70" i="7"/>
  <c r="E70" i="7"/>
  <c r="D70" i="7"/>
  <c r="C70" i="7"/>
  <c r="B70" i="7"/>
  <c r="K69" i="7"/>
  <c r="M69" i="7" s="1"/>
  <c r="M68" i="7"/>
  <c r="K68" i="7"/>
  <c r="K67" i="7"/>
  <c r="M67" i="7" s="1"/>
  <c r="K66" i="7"/>
  <c r="M66" i="7" s="1"/>
  <c r="K65" i="7"/>
  <c r="M65" i="7" s="1"/>
  <c r="K64" i="7"/>
  <c r="M64" i="7" s="1"/>
  <c r="K63" i="7"/>
  <c r="M63" i="7" s="1"/>
  <c r="G63" i="7"/>
  <c r="G70" i="7" s="1"/>
  <c r="D63" i="7"/>
  <c r="K62" i="7"/>
  <c r="M62" i="7" s="1"/>
  <c r="M61" i="7"/>
  <c r="K61" i="7"/>
  <c r="K70" i="7" s="1"/>
  <c r="M70" i="7" s="1"/>
  <c r="I60" i="7"/>
  <c r="H60" i="7"/>
  <c r="G60" i="7"/>
  <c r="F60" i="7"/>
  <c r="E60" i="7"/>
  <c r="D60" i="7"/>
  <c r="C60" i="7"/>
  <c r="B60" i="7"/>
  <c r="K59" i="7"/>
  <c r="M59" i="7" s="1"/>
  <c r="M58" i="7"/>
  <c r="K58" i="7"/>
  <c r="K57" i="7"/>
  <c r="M57" i="7" s="1"/>
  <c r="M56" i="7"/>
  <c r="K56" i="7"/>
  <c r="J55" i="7"/>
  <c r="J60" i="7" s="1"/>
  <c r="M54" i="7"/>
  <c r="K54" i="7"/>
  <c r="K53" i="7"/>
  <c r="M53" i="7" s="1"/>
  <c r="M52" i="7"/>
  <c r="K52" i="7"/>
  <c r="K51" i="7"/>
  <c r="M51" i="7" s="1"/>
  <c r="K50" i="7"/>
  <c r="M50" i="7" s="1"/>
  <c r="K49" i="7"/>
  <c r="K48" i="7"/>
  <c r="M48" i="7" s="1"/>
  <c r="J47" i="7"/>
  <c r="I47" i="7"/>
  <c r="H47" i="7"/>
  <c r="G47" i="7"/>
  <c r="F47" i="7"/>
  <c r="E47" i="7"/>
  <c r="D47" i="7"/>
  <c r="C47" i="7"/>
  <c r="B47" i="7"/>
  <c r="K46" i="7"/>
  <c r="M46" i="7" s="1"/>
  <c r="M45" i="7"/>
  <c r="K45" i="7"/>
  <c r="G45" i="7"/>
  <c r="K44" i="7"/>
  <c r="M44" i="7" s="1"/>
  <c r="H44" i="7"/>
  <c r="K43" i="7"/>
  <c r="M43" i="7" s="1"/>
  <c r="M42" i="7"/>
  <c r="K42" i="7"/>
  <c r="K41" i="7"/>
  <c r="M41" i="7" s="1"/>
  <c r="M40" i="7"/>
  <c r="K40" i="7"/>
  <c r="E39" i="7"/>
  <c r="B39" i="7"/>
  <c r="J38" i="7"/>
  <c r="K38" i="7" s="1"/>
  <c r="M38" i="7" s="1"/>
  <c r="F38" i="7"/>
  <c r="L38" i="7" s="1"/>
  <c r="L37" i="7"/>
  <c r="K37" i="7"/>
  <c r="M37" i="7" s="1"/>
  <c r="L36" i="7"/>
  <c r="K36" i="7"/>
  <c r="M36" i="7" s="1"/>
  <c r="J35" i="7"/>
  <c r="K35" i="7" s="1"/>
  <c r="M35" i="7" s="1"/>
  <c r="F35" i="7"/>
  <c r="L35" i="7" s="1"/>
  <c r="J34" i="7"/>
  <c r="K34" i="7" s="1"/>
  <c r="C34" i="7"/>
  <c r="F34" i="7" s="1"/>
  <c r="L34" i="7" s="1"/>
  <c r="J33" i="7"/>
  <c r="I33" i="7"/>
  <c r="H33" i="7"/>
  <c r="K33" i="7" s="1"/>
  <c r="F33" i="7"/>
  <c r="L33" i="7" s="1"/>
  <c r="D33" i="7"/>
  <c r="D39" i="7" s="1"/>
  <c r="K32" i="7"/>
  <c r="M32" i="7" s="1"/>
  <c r="G32" i="7"/>
  <c r="F32" i="7"/>
  <c r="L32" i="7" s="1"/>
  <c r="L31" i="7"/>
  <c r="K31" i="7"/>
  <c r="M31" i="7" s="1"/>
  <c r="G31" i="7"/>
  <c r="F31" i="7"/>
  <c r="M30" i="7"/>
  <c r="L30" i="7"/>
  <c r="K30" i="7"/>
  <c r="G30" i="7"/>
  <c r="M29" i="7"/>
  <c r="L29" i="7"/>
  <c r="K29" i="7"/>
  <c r="G29" i="7"/>
  <c r="M28" i="7"/>
  <c r="L28" i="7"/>
  <c r="K28" i="7"/>
  <c r="G28" i="7"/>
  <c r="F28" i="7"/>
  <c r="J27" i="7"/>
  <c r="K27" i="7" s="1"/>
  <c r="M27" i="7" s="1"/>
  <c r="G27" i="7"/>
  <c r="F27" i="7"/>
  <c r="L27" i="7" s="1"/>
  <c r="L26" i="7"/>
  <c r="K26" i="7"/>
  <c r="M26" i="7" s="1"/>
  <c r="G26" i="7"/>
  <c r="F26" i="7"/>
  <c r="M25" i="7"/>
  <c r="L25" i="7"/>
  <c r="K25" i="7"/>
  <c r="G25" i="7"/>
  <c r="F25" i="7"/>
  <c r="M24" i="7"/>
  <c r="K24" i="7"/>
  <c r="G24" i="7"/>
  <c r="F24" i="7"/>
  <c r="L24" i="7" s="1"/>
  <c r="J23" i="7"/>
  <c r="K23" i="7" s="1"/>
  <c r="M23" i="7" s="1"/>
  <c r="H23" i="7"/>
  <c r="C23" i="7"/>
  <c r="G23" i="7" s="1"/>
  <c r="J22" i="7"/>
  <c r="K22" i="7" s="1"/>
  <c r="I22" i="7"/>
  <c r="I39" i="7" s="1"/>
  <c r="H22" i="7"/>
  <c r="H39" i="7" s="1"/>
  <c r="G22" i="7"/>
  <c r="F22" i="7"/>
  <c r="L22" i="7" s="1"/>
  <c r="G20" i="7"/>
  <c r="F20" i="7"/>
  <c r="L20" i="7" s="1"/>
  <c r="L19" i="7"/>
  <c r="K19" i="7"/>
  <c r="M19" i="7" s="1"/>
  <c r="G19" i="7"/>
  <c r="F19" i="7"/>
  <c r="M18" i="7"/>
  <c r="L18" i="7"/>
  <c r="K18" i="7"/>
  <c r="G18" i="7"/>
  <c r="F18" i="7"/>
  <c r="M17" i="7"/>
  <c r="L17" i="7"/>
  <c r="K17" i="7"/>
  <c r="G17" i="7"/>
  <c r="M16" i="7"/>
  <c r="L16" i="7"/>
  <c r="K16" i="7"/>
  <c r="G16" i="7"/>
  <c r="M15" i="7"/>
  <c r="K15" i="7"/>
  <c r="G15" i="7"/>
  <c r="F15" i="7"/>
  <c r="L15" i="7" s="1"/>
  <c r="I14" i="7"/>
  <c r="G14" i="7"/>
  <c r="F14" i="7"/>
  <c r="L14" i="7" s="1"/>
  <c r="M13" i="7"/>
  <c r="K13" i="7"/>
  <c r="G13" i="7"/>
  <c r="F13" i="7"/>
  <c r="L12" i="7"/>
  <c r="K12" i="7"/>
  <c r="M12" i="7" s="1"/>
  <c r="G12" i="7"/>
  <c r="F12" i="7"/>
  <c r="L11" i="7"/>
  <c r="K11" i="7"/>
  <c r="M11" i="7" s="1"/>
  <c r="G11" i="7"/>
  <c r="F11" i="7"/>
  <c r="K10" i="7"/>
  <c r="F10" i="7"/>
  <c r="K9" i="7"/>
  <c r="G9" i="7"/>
  <c r="F9" i="7"/>
  <c r="L9" i="7" s="1"/>
  <c r="G21" i="7" l="1"/>
  <c r="K21" i="7"/>
  <c r="L10" i="7"/>
  <c r="F21" i="7"/>
  <c r="M20" i="7"/>
  <c r="E100" i="7"/>
  <c r="M10" i="7"/>
  <c r="K39" i="7"/>
  <c r="M22" i="7"/>
  <c r="C98" i="7"/>
  <c r="C100" i="7" s="1"/>
  <c r="D98" i="7"/>
  <c r="D100" i="7" s="1"/>
  <c r="H98" i="7"/>
  <c r="H100" i="7" s="1"/>
  <c r="I98" i="7"/>
  <c r="I100" i="7" s="1"/>
  <c r="M96" i="7"/>
  <c r="J39" i="7"/>
  <c r="J98" i="7" s="1"/>
  <c r="J100" i="7" s="1"/>
  <c r="K47" i="7"/>
  <c r="M47" i="7" s="1"/>
  <c r="K14" i="7"/>
  <c r="M14" i="7" s="1"/>
  <c r="C39" i="7"/>
  <c r="F39" i="7" s="1"/>
  <c r="F98" i="7" s="1"/>
  <c r="M49" i="7"/>
  <c r="K55" i="7"/>
  <c r="M55" i="7" s="1"/>
  <c r="M82" i="7"/>
  <c r="M93" i="7"/>
  <c r="L13" i="7"/>
  <c r="G34" i="7"/>
  <c r="M34" i="7" s="1"/>
  <c r="F23" i="7"/>
  <c r="L23" i="7" s="1"/>
  <c r="M9" i="7"/>
  <c r="G33" i="7"/>
  <c r="M33" i="7" s="1"/>
  <c r="I9" i="6"/>
  <c r="M21" i="7" l="1"/>
  <c r="F100" i="7"/>
  <c r="G39" i="7"/>
  <c r="G98" i="7" s="1"/>
  <c r="G100" i="7" s="1"/>
  <c r="K60" i="7"/>
  <c r="H9" i="6"/>
  <c r="J9" i="6"/>
  <c r="G9" i="6"/>
  <c r="M39" i="7" l="1"/>
  <c r="M60" i="7"/>
  <c r="K98" i="7"/>
  <c r="I105" i="6"/>
  <c r="K99" i="6"/>
  <c r="M99" i="6" s="1"/>
  <c r="K97" i="6"/>
  <c r="M97" i="6" s="1"/>
  <c r="J96" i="6"/>
  <c r="I96" i="6"/>
  <c r="H96" i="6"/>
  <c r="G96" i="6"/>
  <c r="F96" i="6"/>
  <c r="E96" i="6"/>
  <c r="D96" i="6"/>
  <c r="C96" i="6"/>
  <c r="B96" i="6"/>
  <c r="M95" i="6"/>
  <c r="K95" i="6"/>
  <c r="K94" i="6"/>
  <c r="K93" i="6"/>
  <c r="M93" i="6" s="1"/>
  <c r="J92" i="6"/>
  <c r="I92" i="6"/>
  <c r="H92" i="6"/>
  <c r="G92" i="6"/>
  <c r="F92" i="6"/>
  <c r="E92" i="6"/>
  <c r="D92" i="6"/>
  <c r="C92" i="6"/>
  <c r="B92" i="6"/>
  <c r="K91" i="6"/>
  <c r="M91" i="6" s="1"/>
  <c r="K90" i="6"/>
  <c r="M90" i="6" s="1"/>
  <c r="K89" i="6"/>
  <c r="J88" i="6"/>
  <c r="I88" i="6"/>
  <c r="H88" i="6"/>
  <c r="G88" i="6"/>
  <c r="F88" i="6"/>
  <c r="E88" i="6"/>
  <c r="D88" i="6"/>
  <c r="C88" i="6"/>
  <c r="B88" i="6"/>
  <c r="K87" i="6"/>
  <c r="M87" i="6" s="1"/>
  <c r="K86" i="6"/>
  <c r="M86" i="6" s="1"/>
  <c r="M85" i="6"/>
  <c r="K85" i="6"/>
  <c r="K84" i="6"/>
  <c r="M84" i="6" s="1"/>
  <c r="M83" i="6"/>
  <c r="K83" i="6"/>
  <c r="K82" i="6"/>
  <c r="K81" i="6"/>
  <c r="M81" i="6" s="1"/>
  <c r="J80" i="6"/>
  <c r="I80" i="6"/>
  <c r="H80" i="6"/>
  <c r="G80" i="6"/>
  <c r="F80" i="6"/>
  <c r="E80" i="6"/>
  <c r="D80" i="6"/>
  <c r="C80" i="6"/>
  <c r="B80" i="6"/>
  <c r="K79" i="6"/>
  <c r="M79" i="6" s="1"/>
  <c r="K78" i="6"/>
  <c r="M78" i="6" s="1"/>
  <c r="K77" i="6"/>
  <c r="M77" i="6" s="1"/>
  <c r="K76" i="6"/>
  <c r="M76" i="6" s="1"/>
  <c r="K75" i="6"/>
  <c r="M75" i="6" s="1"/>
  <c r="K74" i="6"/>
  <c r="M74" i="6" s="1"/>
  <c r="K73" i="6"/>
  <c r="M73" i="6" s="1"/>
  <c r="K72" i="6"/>
  <c r="M72" i="6" s="1"/>
  <c r="K71" i="6"/>
  <c r="M71" i="6" s="1"/>
  <c r="J70" i="6"/>
  <c r="I70" i="6"/>
  <c r="H70" i="6"/>
  <c r="F70" i="6"/>
  <c r="E70" i="6"/>
  <c r="C70" i="6"/>
  <c r="B70" i="6"/>
  <c r="K69" i="6"/>
  <c r="M69" i="6" s="1"/>
  <c r="K68" i="6"/>
  <c r="M68" i="6" s="1"/>
  <c r="M67" i="6"/>
  <c r="K67" i="6"/>
  <c r="K66" i="6"/>
  <c r="M66" i="6" s="1"/>
  <c r="M65" i="6"/>
  <c r="K65" i="6"/>
  <c r="K64" i="6"/>
  <c r="M64" i="6" s="1"/>
  <c r="K63" i="6"/>
  <c r="D63" i="6"/>
  <c r="D70" i="6" s="1"/>
  <c r="K62" i="6"/>
  <c r="K61" i="6"/>
  <c r="M61" i="6" s="1"/>
  <c r="J60" i="6"/>
  <c r="I60" i="6"/>
  <c r="H60" i="6"/>
  <c r="G60" i="6"/>
  <c r="F60" i="6"/>
  <c r="E60" i="6"/>
  <c r="D60" i="6"/>
  <c r="C60" i="6"/>
  <c r="B60" i="6"/>
  <c r="K59" i="6"/>
  <c r="M59" i="6" s="1"/>
  <c r="K58" i="6"/>
  <c r="M58" i="6" s="1"/>
  <c r="K57" i="6"/>
  <c r="M57" i="6" s="1"/>
  <c r="K56" i="6"/>
  <c r="M56" i="6" s="1"/>
  <c r="K55" i="6"/>
  <c r="M55" i="6" s="1"/>
  <c r="J55" i="6"/>
  <c r="K54" i="6"/>
  <c r="M54" i="6" s="1"/>
  <c r="K53" i="6"/>
  <c r="M53" i="6" s="1"/>
  <c r="K52" i="6"/>
  <c r="M52" i="6" s="1"/>
  <c r="K51" i="6"/>
  <c r="M51" i="6" s="1"/>
  <c r="K50" i="6"/>
  <c r="M50" i="6" s="1"/>
  <c r="M49" i="6"/>
  <c r="K49" i="6"/>
  <c r="K48" i="6"/>
  <c r="J47" i="6"/>
  <c r="I47" i="6"/>
  <c r="F47" i="6"/>
  <c r="E47" i="6"/>
  <c r="D47" i="6"/>
  <c r="C47" i="6"/>
  <c r="B47" i="6"/>
  <c r="K46" i="6"/>
  <c r="M46" i="6" s="1"/>
  <c r="K45" i="6"/>
  <c r="M45" i="6" s="1"/>
  <c r="G45" i="6"/>
  <c r="G47" i="6" s="1"/>
  <c r="H44" i="6"/>
  <c r="H47" i="6" s="1"/>
  <c r="K43" i="6"/>
  <c r="M43" i="6" s="1"/>
  <c r="K42" i="6"/>
  <c r="M42" i="6" s="1"/>
  <c r="K41" i="6"/>
  <c r="M41" i="6" s="1"/>
  <c r="K40" i="6"/>
  <c r="E39" i="6"/>
  <c r="B39" i="6"/>
  <c r="J38" i="6"/>
  <c r="K38" i="6" s="1"/>
  <c r="M38" i="6" s="1"/>
  <c r="F38" i="6"/>
  <c r="L38" i="6" s="1"/>
  <c r="L37" i="6"/>
  <c r="K37" i="6"/>
  <c r="M37" i="6" s="1"/>
  <c r="L36" i="6"/>
  <c r="K36" i="6"/>
  <c r="M36" i="6" s="1"/>
  <c r="J35" i="6"/>
  <c r="K35" i="6" s="1"/>
  <c r="M35" i="6" s="1"/>
  <c r="F35" i="6"/>
  <c r="L35" i="6" s="1"/>
  <c r="J34" i="6"/>
  <c r="K34" i="6" s="1"/>
  <c r="C34" i="6"/>
  <c r="F34" i="6" s="1"/>
  <c r="L34" i="6" s="1"/>
  <c r="J33" i="6"/>
  <c r="I33" i="6"/>
  <c r="H33" i="6"/>
  <c r="F33" i="6"/>
  <c r="L33" i="6" s="1"/>
  <c r="D33" i="6"/>
  <c r="D39" i="6" s="1"/>
  <c r="K32" i="6"/>
  <c r="M32" i="6" s="1"/>
  <c r="G32" i="6"/>
  <c r="F32" i="6"/>
  <c r="L32" i="6" s="1"/>
  <c r="L31" i="6"/>
  <c r="K31" i="6"/>
  <c r="M31" i="6" s="1"/>
  <c r="G31" i="6"/>
  <c r="F31" i="6"/>
  <c r="L30" i="6"/>
  <c r="K30" i="6"/>
  <c r="M30" i="6" s="1"/>
  <c r="G30" i="6"/>
  <c r="L29" i="6"/>
  <c r="K29" i="6"/>
  <c r="G29" i="6"/>
  <c r="K28" i="6"/>
  <c r="G28" i="6"/>
  <c r="F28" i="6"/>
  <c r="L28" i="6" s="1"/>
  <c r="J27" i="6"/>
  <c r="K27" i="6" s="1"/>
  <c r="M27" i="6" s="1"/>
  <c r="G27" i="6"/>
  <c r="F27" i="6"/>
  <c r="L27" i="6" s="1"/>
  <c r="L26" i="6"/>
  <c r="K26" i="6"/>
  <c r="M26" i="6" s="1"/>
  <c r="G26" i="6"/>
  <c r="F26" i="6"/>
  <c r="K25" i="6"/>
  <c r="G25" i="6"/>
  <c r="F25" i="6"/>
  <c r="L25" i="6" s="1"/>
  <c r="L24" i="6"/>
  <c r="K24" i="6"/>
  <c r="G24" i="6"/>
  <c r="F24" i="6"/>
  <c r="K23" i="6"/>
  <c r="M23" i="6" s="1"/>
  <c r="F23" i="6"/>
  <c r="L23" i="6" s="1"/>
  <c r="C23" i="6"/>
  <c r="G23" i="6" s="1"/>
  <c r="J22" i="6"/>
  <c r="I22" i="6"/>
  <c r="I39" i="6" s="1"/>
  <c r="H22" i="6"/>
  <c r="G22" i="6"/>
  <c r="F22" i="6"/>
  <c r="L22" i="6" s="1"/>
  <c r="E21" i="6"/>
  <c r="D21" i="6"/>
  <c r="C21" i="6"/>
  <c r="B21" i="6"/>
  <c r="J20" i="6"/>
  <c r="K20" i="6" s="1"/>
  <c r="G20" i="6"/>
  <c r="F20" i="6"/>
  <c r="L20" i="6" s="1"/>
  <c r="L19" i="6"/>
  <c r="K19" i="6"/>
  <c r="G19" i="6"/>
  <c r="F19" i="6"/>
  <c r="K18" i="6"/>
  <c r="G18" i="6"/>
  <c r="F18" i="6"/>
  <c r="L18" i="6" s="1"/>
  <c r="L17" i="6"/>
  <c r="K17" i="6"/>
  <c r="G17" i="6"/>
  <c r="L16" i="6"/>
  <c r="K16" i="6"/>
  <c r="G16" i="6"/>
  <c r="L15" i="6"/>
  <c r="K15" i="6"/>
  <c r="G15" i="6"/>
  <c r="F15" i="6"/>
  <c r="K14" i="6"/>
  <c r="M14" i="6" s="1"/>
  <c r="J14" i="6"/>
  <c r="I14" i="6"/>
  <c r="G14" i="6"/>
  <c r="F14" i="6"/>
  <c r="L14" i="6" s="1"/>
  <c r="K13" i="6"/>
  <c r="G13" i="6"/>
  <c r="F13" i="6"/>
  <c r="L13" i="6" s="1"/>
  <c r="K12" i="6"/>
  <c r="G12" i="6"/>
  <c r="F12" i="6"/>
  <c r="L12" i="6" s="1"/>
  <c r="L11" i="6"/>
  <c r="K11" i="6"/>
  <c r="G11" i="6"/>
  <c r="F11" i="6"/>
  <c r="F10" i="6"/>
  <c r="L10" i="6" s="1"/>
  <c r="I21" i="6"/>
  <c r="K9" i="6"/>
  <c r="F9" i="6"/>
  <c r="L9" i="6" s="1"/>
  <c r="G21" i="6" l="1"/>
  <c r="K100" i="7"/>
  <c r="M98" i="7"/>
  <c r="K33" i="6"/>
  <c r="K88" i="6"/>
  <c r="M88" i="6" s="1"/>
  <c r="K96" i="6"/>
  <c r="M18" i="6"/>
  <c r="M19" i="6"/>
  <c r="H39" i="6"/>
  <c r="M24" i="6"/>
  <c r="K70" i="6"/>
  <c r="M13" i="6"/>
  <c r="M16" i="6"/>
  <c r="J39" i="6"/>
  <c r="J98" i="6" s="1"/>
  <c r="F21" i="6"/>
  <c r="J21" i="6"/>
  <c r="K10" i="6"/>
  <c r="M10" i="6" s="1"/>
  <c r="M11" i="6"/>
  <c r="M12" i="6"/>
  <c r="M15" i="6"/>
  <c r="M28" i="6"/>
  <c r="G63" i="6"/>
  <c r="M63" i="6" s="1"/>
  <c r="K92" i="6"/>
  <c r="M92" i="6" s="1"/>
  <c r="I98" i="6"/>
  <c r="I100" i="6" s="1"/>
  <c r="M17" i="6"/>
  <c r="M25" i="6"/>
  <c r="M29" i="6"/>
  <c r="G34" i="6"/>
  <c r="M34" i="6" s="1"/>
  <c r="K60" i="6"/>
  <c r="M60" i="6" s="1"/>
  <c r="M62" i="6"/>
  <c r="E98" i="6"/>
  <c r="E100" i="6" s="1"/>
  <c r="M20" i="6"/>
  <c r="M48" i="6"/>
  <c r="B98" i="6"/>
  <c r="B100" i="6" s="1"/>
  <c r="M82" i="6"/>
  <c r="M94" i="6"/>
  <c r="M9" i="6"/>
  <c r="D98" i="6"/>
  <c r="D100" i="6" s="1"/>
  <c r="H98" i="6"/>
  <c r="H21" i="6"/>
  <c r="M40" i="6"/>
  <c r="K44" i="6"/>
  <c r="M44" i="6" s="1"/>
  <c r="K80" i="6"/>
  <c r="M80" i="6" s="1"/>
  <c r="M89" i="6"/>
  <c r="M96" i="6"/>
  <c r="K22" i="6"/>
  <c r="C39" i="6"/>
  <c r="C98" i="6" s="1"/>
  <c r="C100" i="6" s="1"/>
  <c r="G33" i="6"/>
  <c r="J55" i="5"/>
  <c r="J96" i="5"/>
  <c r="I96" i="5"/>
  <c r="H96" i="5"/>
  <c r="G96" i="5"/>
  <c r="F96" i="5"/>
  <c r="E96" i="5"/>
  <c r="D96" i="5"/>
  <c r="C96" i="5"/>
  <c r="B96" i="5"/>
  <c r="J92" i="5"/>
  <c r="I92" i="5"/>
  <c r="H92" i="5"/>
  <c r="G92" i="5"/>
  <c r="F92" i="5"/>
  <c r="E92" i="5"/>
  <c r="D92" i="5"/>
  <c r="C92" i="5"/>
  <c r="B92" i="5"/>
  <c r="J88" i="5"/>
  <c r="I88" i="5"/>
  <c r="H88" i="5"/>
  <c r="G88" i="5"/>
  <c r="F88" i="5"/>
  <c r="E88" i="5"/>
  <c r="D88" i="5"/>
  <c r="C88" i="5"/>
  <c r="B88" i="5"/>
  <c r="J80" i="5"/>
  <c r="I80" i="5"/>
  <c r="H80" i="5"/>
  <c r="G80" i="5"/>
  <c r="F80" i="5"/>
  <c r="E80" i="5"/>
  <c r="D80" i="5"/>
  <c r="C80" i="5"/>
  <c r="B80" i="5"/>
  <c r="J70" i="5"/>
  <c r="I70" i="5"/>
  <c r="H70" i="5"/>
  <c r="F70" i="5"/>
  <c r="E70" i="5"/>
  <c r="C70" i="5"/>
  <c r="B70" i="5"/>
  <c r="J60" i="5"/>
  <c r="I60" i="5"/>
  <c r="H60" i="5"/>
  <c r="G60" i="5"/>
  <c r="F60" i="5"/>
  <c r="E60" i="5"/>
  <c r="D60" i="5"/>
  <c r="C60" i="5"/>
  <c r="B60" i="5"/>
  <c r="J47" i="5"/>
  <c r="I47" i="5"/>
  <c r="F47" i="5"/>
  <c r="E47" i="5"/>
  <c r="D47" i="5"/>
  <c r="C47" i="5"/>
  <c r="B47" i="5"/>
  <c r="E21" i="5"/>
  <c r="D21" i="5"/>
  <c r="C21" i="5"/>
  <c r="B21" i="5"/>
  <c r="G45" i="5"/>
  <c r="G47" i="5" s="1"/>
  <c r="D63" i="5"/>
  <c r="G63" i="5" s="1"/>
  <c r="G70" i="5" s="1"/>
  <c r="K21" i="6" l="1"/>
  <c r="M21" i="6" s="1"/>
  <c r="G39" i="6"/>
  <c r="J100" i="6"/>
  <c r="M33" i="6"/>
  <c r="G70" i="6"/>
  <c r="M70" i="6" s="1"/>
  <c r="F39" i="6"/>
  <c r="F98" i="6" s="1"/>
  <c r="F100" i="6" s="1"/>
  <c r="H100" i="6"/>
  <c r="K39" i="6"/>
  <c r="M22" i="6"/>
  <c r="K47" i="6"/>
  <c r="M47" i="6" s="1"/>
  <c r="D70" i="5"/>
  <c r="K24" i="5"/>
  <c r="M39" i="6" l="1"/>
  <c r="K98" i="6"/>
  <c r="K100" i="6" s="1"/>
  <c r="G98" i="6"/>
  <c r="G100" i="6" s="1"/>
  <c r="C34" i="5"/>
  <c r="G34" i="5" s="1"/>
  <c r="J34" i="5"/>
  <c r="G20" i="5"/>
  <c r="J20" i="5"/>
  <c r="M98" i="6" l="1"/>
  <c r="I9" i="5"/>
  <c r="I22" i="5" l="1"/>
  <c r="J22" i="5"/>
  <c r="H22" i="5"/>
  <c r="G9" i="5"/>
  <c r="J9" i="5"/>
  <c r="J14" i="5"/>
  <c r="G14" i="5"/>
  <c r="K20" i="5" l="1"/>
  <c r="I14" i="5"/>
  <c r="I105" i="5"/>
  <c r="K99" i="5"/>
  <c r="M99" i="5" s="1"/>
  <c r="K97" i="5"/>
  <c r="M97" i="5" s="1"/>
  <c r="K95" i="5"/>
  <c r="M95" i="5" s="1"/>
  <c r="K94" i="5"/>
  <c r="M94" i="5" s="1"/>
  <c r="K93" i="5"/>
  <c r="K91" i="5"/>
  <c r="M91" i="5" s="1"/>
  <c r="K90" i="5"/>
  <c r="M90" i="5" s="1"/>
  <c r="K89" i="5"/>
  <c r="K87" i="5"/>
  <c r="M87" i="5" s="1"/>
  <c r="K86" i="5"/>
  <c r="M86" i="5" s="1"/>
  <c r="K85" i="5"/>
  <c r="M85" i="5" s="1"/>
  <c r="K84" i="5"/>
  <c r="M84" i="5" s="1"/>
  <c r="K83" i="5"/>
  <c r="M83" i="5" s="1"/>
  <c r="K82" i="5"/>
  <c r="M82" i="5" s="1"/>
  <c r="K81" i="5"/>
  <c r="K79" i="5"/>
  <c r="M79" i="5" s="1"/>
  <c r="K78" i="5"/>
  <c r="M78" i="5" s="1"/>
  <c r="K77" i="5"/>
  <c r="M77" i="5" s="1"/>
  <c r="K76" i="5"/>
  <c r="M76" i="5" s="1"/>
  <c r="K75" i="5"/>
  <c r="M75" i="5" s="1"/>
  <c r="K74" i="5"/>
  <c r="M74" i="5" s="1"/>
  <c r="K73" i="5"/>
  <c r="M73" i="5" s="1"/>
  <c r="K72" i="5"/>
  <c r="M72" i="5" s="1"/>
  <c r="K71" i="5"/>
  <c r="K69" i="5"/>
  <c r="M69" i="5" s="1"/>
  <c r="K68" i="5"/>
  <c r="M68" i="5" s="1"/>
  <c r="K67" i="5"/>
  <c r="M67" i="5" s="1"/>
  <c r="K66" i="5"/>
  <c r="M66" i="5" s="1"/>
  <c r="K65" i="5"/>
  <c r="M65" i="5" s="1"/>
  <c r="K64" i="5"/>
  <c r="M64" i="5" s="1"/>
  <c r="K63" i="5"/>
  <c r="M63" i="5" s="1"/>
  <c r="K62" i="5"/>
  <c r="M62" i="5" s="1"/>
  <c r="K61" i="5"/>
  <c r="K59" i="5"/>
  <c r="M59" i="5" s="1"/>
  <c r="K58" i="5"/>
  <c r="M58" i="5" s="1"/>
  <c r="K57" i="5"/>
  <c r="M57" i="5" s="1"/>
  <c r="K56" i="5"/>
  <c r="M56" i="5" s="1"/>
  <c r="K55" i="5"/>
  <c r="M55" i="5" s="1"/>
  <c r="K54" i="5"/>
  <c r="M54" i="5" s="1"/>
  <c r="K53" i="5"/>
  <c r="M53" i="5" s="1"/>
  <c r="K52" i="5"/>
  <c r="M52" i="5" s="1"/>
  <c r="K51" i="5"/>
  <c r="M51" i="5" s="1"/>
  <c r="K50" i="5"/>
  <c r="M50" i="5" s="1"/>
  <c r="K49" i="5"/>
  <c r="M49" i="5" s="1"/>
  <c r="K48" i="5"/>
  <c r="K46" i="5"/>
  <c r="M46" i="5" s="1"/>
  <c r="K45" i="5"/>
  <c r="M45" i="5" s="1"/>
  <c r="H44" i="5"/>
  <c r="K43" i="5"/>
  <c r="M43" i="5" s="1"/>
  <c r="K42" i="5"/>
  <c r="M42" i="5" s="1"/>
  <c r="K41" i="5"/>
  <c r="M41" i="5" s="1"/>
  <c r="K40" i="5"/>
  <c r="B39" i="5"/>
  <c r="B98" i="5" s="1"/>
  <c r="B100" i="5" s="1"/>
  <c r="J38" i="5"/>
  <c r="K38" i="5" s="1"/>
  <c r="M38" i="5" s="1"/>
  <c r="F38" i="5"/>
  <c r="L38" i="5" s="1"/>
  <c r="L37" i="5"/>
  <c r="K37" i="5"/>
  <c r="M37" i="5" s="1"/>
  <c r="L36" i="5"/>
  <c r="K36" i="5"/>
  <c r="M36" i="5" s="1"/>
  <c r="J35" i="5"/>
  <c r="K35" i="5" s="1"/>
  <c r="M35" i="5" s="1"/>
  <c r="F35" i="5"/>
  <c r="L35" i="5" s="1"/>
  <c r="K34" i="5"/>
  <c r="F34" i="5"/>
  <c r="L34" i="5" s="1"/>
  <c r="J33" i="5"/>
  <c r="I33" i="5"/>
  <c r="I39" i="5" s="1"/>
  <c r="I98" i="5" s="1"/>
  <c r="H33" i="5"/>
  <c r="F33" i="5"/>
  <c r="L33" i="5" s="1"/>
  <c r="D33" i="5"/>
  <c r="D39" i="5" s="1"/>
  <c r="D98" i="5" s="1"/>
  <c r="D100" i="5" s="1"/>
  <c r="K32" i="5"/>
  <c r="G32" i="5"/>
  <c r="F32" i="5"/>
  <c r="L32" i="5" s="1"/>
  <c r="K31" i="5"/>
  <c r="G31" i="5"/>
  <c r="F31" i="5"/>
  <c r="L31" i="5" s="1"/>
  <c r="L30" i="5"/>
  <c r="K30" i="5"/>
  <c r="G30" i="5"/>
  <c r="L29" i="5"/>
  <c r="K29" i="5"/>
  <c r="G29" i="5"/>
  <c r="K28" i="5"/>
  <c r="G28" i="5"/>
  <c r="F28" i="5"/>
  <c r="L28" i="5" s="1"/>
  <c r="J27" i="5"/>
  <c r="K27" i="5" s="1"/>
  <c r="G27" i="5"/>
  <c r="K26" i="5"/>
  <c r="G26" i="5"/>
  <c r="F26" i="5"/>
  <c r="L26" i="5" s="1"/>
  <c r="K25" i="5"/>
  <c r="G25" i="5"/>
  <c r="F25" i="5"/>
  <c r="L25" i="5" s="1"/>
  <c r="G24" i="5"/>
  <c r="M24" i="5" s="1"/>
  <c r="F24" i="5"/>
  <c r="L24" i="5" s="1"/>
  <c r="J23" i="5"/>
  <c r="H23" i="5"/>
  <c r="C23" i="5"/>
  <c r="C39" i="5" s="1"/>
  <c r="C98" i="5" s="1"/>
  <c r="C100" i="5" s="1"/>
  <c r="G22" i="5"/>
  <c r="F22" i="5"/>
  <c r="L22" i="5" s="1"/>
  <c r="F20" i="5"/>
  <c r="L20" i="5" s="1"/>
  <c r="K19" i="5"/>
  <c r="G19" i="5"/>
  <c r="F19" i="5"/>
  <c r="L19" i="5" s="1"/>
  <c r="K18" i="5"/>
  <c r="G18" i="5"/>
  <c r="F18" i="5"/>
  <c r="L18" i="5" s="1"/>
  <c r="L17" i="5"/>
  <c r="K17" i="5"/>
  <c r="G17" i="5"/>
  <c r="L16" i="5"/>
  <c r="K16" i="5"/>
  <c r="G16" i="5"/>
  <c r="K15" i="5"/>
  <c r="G15" i="5"/>
  <c r="F15" i="5"/>
  <c r="L15" i="5" s="1"/>
  <c r="F14" i="5"/>
  <c r="L14" i="5" s="1"/>
  <c r="K13" i="5"/>
  <c r="G13" i="5"/>
  <c r="F13" i="5"/>
  <c r="L13" i="5" s="1"/>
  <c r="K12" i="5"/>
  <c r="G12" i="5"/>
  <c r="F12" i="5"/>
  <c r="L12" i="5" s="1"/>
  <c r="K11" i="5"/>
  <c r="G11" i="5"/>
  <c r="F11" i="5"/>
  <c r="L11" i="5" s="1"/>
  <c r="J10" i="5"/>
  <c r="J21" i="5" s="1"/>
  <c r="H10" i="5"/>
  <c r="G10" i="5"/>
  <c r="F10" i="5"/>
  <c r="L10" i="5" s="1"/>
  <c r="H9" i="5"/>
  <c r="F9" i="5"/>
  <c r="J9" i="1"/>
  <c r="H9" i="1"/>
  <c r="G21" i="5" l="1"/>
  <c r="L9" i="5"/>
  <c r="F21" i="5"/>
  <c r="M40" i="5"/>
  <c r="K44" i="5"/>
  <c r="M44" i="5" s="1"/>
  <c r="H47" i="5"/>
  <c r="M48" i="5"/>
  <c r="K60" i="5"/>
  <c r="M60" i="5" s="1"/>
  <c r="M29" i="5"/>
  <c r="M61" i="5"/>
  <c r="K70" i="5"/>
  <c r="M70" i="5" s="1"/>
  <c r="M81" i="5"/>
  <c r="K88" i="5"/>
  <c r="M88" i="5" s="1"/>
  <c r="M89" i="5"/>
  <c r="K92" i="5"/>
  <c r="M92" i="5" s="1"/>
  <c r="M93" i="5"/>
  <c r="K96" i="5"/>
  <c r="K14" i="5"/>
  <c r="I21" i="5"/>
  <c r="I100" i="5" s="1"/>
  <c r="H21" i="5"/>
  <c r="M13" i="5"/>
  <c r="M25" i="5"/>
  <c r="M27" i="5"/>
  <c r="M28" i="5"/>
  <c r="M32" i="5"/>
  <c r="M71" i="5"/>
  <c r="K80" i="5"/>
  <c r="M80" i="5" s="1"/>
  <c r="M30" i="5"/>
  <c r="M31" i="5"/>
  <c r="M26" i="5"/>
  <c r="K33" i="5"/>
  <c r="M18" i="5"/>
  <c r="M17" i="5"/>
  <c r="M19" i="5"/>
  <c r="H39" i="5"/>
  <c r="K10" i="5"/>
  <c r="M10" i="5" s="1"/>
  <c r="M16" i="5"/>
  <c r="M11" i="5"/>
  <c r="M12" i="5"/>
  <c r="J39" i="5"/>
  <c r="J98" i="5" s="1"/>
  <c r="J100" i="5" s="1"/>
  <c r="G33" i="5"/>
  <c r="M34" i="5"/>
  <c r="K9" i="5"/>
  <c r="K23" i="5"/>
  <c r="M15" i="5"/>
  <c r="M14" i="5"/>
  <c r="M20" i="5"/>
  <c r="K22" i="5"/>
  <c r="M22" i="5" s="1"/>
  <c r="G23" i="5"/>
  <c r="F27" i="5"/>
  <c r="L27" i="5" s="1"/>
  <c r="E39" i="5"/>
  <c r="F23" i="5"/>
  <c r="L23" i="5" s="1"/>
  <c r="H32" i="1"/>
  <c r="J22" i="1"/>
  <c r="J21" i="1"/>
  <c r="I21" i="1"/>
  <c r="G22" i="1"/>
  <c r="C11" i="1"/>
  <c r="M23" i="5" l="1"/>
  <c r="M96" i="5"/>
  <c r="F39" i="5"/>
  <c r="F98" i="5" s="1"/>
  <c r="F100" i="5" s="1"/>
  <c r="E98" i="5"/>
  <c r="E100" i="5" s="1"/>
  <c r="K21" i="5"/>
  <c r="M21" i="5" s="1"/>
  <c r="M33" i="5"/>
  <c r="K47" i="5"/>
  <c r="M47" i="5" s="1"/>
  <c r="H98" i="5"/>
  <c r="H100" i="5" s="1"/>
  <c r="M9" i="5"/>
  <c r="G39" i="5"/>
  <c r="G98" i="5" s="1"/>
  <c r="G100" i="5" s="1"/>
  <c r="K39" i="5"/>
  <c r="M39" i="5" s="1"/>
  <c r="O9" i="4"/>
  <c r="N9" i="4"/>
  <c r="G9" i="4"/>
  <c r="J9" i="4"/>
  <c r="H9" i="4"/>
  <c r="K9" i="4" s="1"/>
  <c r="I93" i="4"/>
  <c r="K87" i="4"/>
  <c r="M87" i="4" s="1"/>
  <c r="K86" i="4"/>
  <c r="M86" i="4" s="1"/>
  <c r="K85" i="4"/>
  <c r="M85" i="4" s="1"/>
  <c r="K84" i="4"/>
  <c r="M84" i="4" s="1"/>
  <c r="K83" i="4"/>
  <c r="M83" i="4" s="1"/>
  <c r="K82" i="4"/>
  <c r="M82" i="4" s="1"/>
  <c r="K81" i="4"/>
  <c r="M81" i="4" s="1"/>
  <c r="K80" i="4"/>
  <c r="M80" i="4" s="1"/>
  <c r="K79" i="4"/>
  <c r="M79" i="4" s="1"/>
  <c r="K78" i="4"/>
  <c r="M78" i="4" s="1"/>
  <c r="K77" i="4"/>
  <c r="M77" i="4" s="1"/>
  <c r="K76" i="4"/>
  <c r="M76" i="4" s="1"/>
  <c r="K75" i="4"/>
  <c r="M75" i="4" s="1"/>
  <c r="K74" i="4"/>
  <c r="M74" i="4" s="1"/>
  <c r="K73" i="4"/>
  <c r="M73" i="4" s="1"/>
  <c r="K72" i="4"/>
  <c r="M72" i="4" s="1"/>
  <c r="K71" i="4"/>
  <c r="M71" i="4" s="1"/>
  <c r="K70" i="4"/>
  <c r="M70" i="4" s="1"/>
  <c r="K69" i="4"/>
  <c r="M69" i="4" s="1"/>
  <c r="K68" i="4"/>
  <c r="M68" i="4" s="1"/>
  <c r="K67" i="4"/>
  <c r="M67" i="4" s="1"/>
  <c r="K66" i="4"/>
  <c r="M66" i="4" s="1"/>
  <c r="K65" i="4"/>
  <c r="M65" i="4" s="1"/>
  <c r="K64" i="4"/>
  <c r="M64" i="4" s="1"/>
  <c r="K63" i="4"/>
  <c r="M63" i="4" s="1"/>
  <c r="K62" i="4"/>
  <c r="M62" i="4" s="1"/>
  <c r="K61" i="4"/>
  <c r="M61" i="4" s="1"/>
  <c r="K60" i="4"/>
  <c r="M60" i="4" s="1"/>
  <c r="K59" i="4"/>
  <c r="M59" i="4" s="1"/>
  <c r="K58" i="4"/>
  <c r="M58" i="4" s="1"/>
  <c r="K57" i="4"/>
  <c r="M57" i="4" s="1"/>
  <c r="K56" i="4"/>
  <c r="M56" i="4" s="1"/>
  <c r="K55" i="4"/>
  <c r="M55" i="4" s="1"/>
  <c r="K54" i="4"/>
  <c r="M54" i="4" s="1"/>
  <c r="K53" i="4"/>
  <c r="M53" i="4" s="1"/>
  <c r="K52" i="4"/>
  <c r="M52" i="4" s="1"/>
  <c r="K51" i="4"/>
  <c r="M51" i="4" s="1"/>
  <c r="K50" i="4"/>
  <c r="M50" i="4" s="1"/>
  <c r="K49" i="4"/>
  <c r="M49" i="4" s="1"/>
  <c r="K48" i="4"/>
  <c r="M48" i="4" s="1"/>
  <c r="K47" i="4"/>
  <c r="M47" i="4" s="1"/>
  <c r="K46" i="4"/>
  <c r="M46" i="4" s="1"/>
  <c r="K45" i="4"/>
  <c r="M45" i="4" s="1"/>
  <c r="K44" i="4"/>
  <c r="M44" i="4" s="1"/>
  <c r="K43" i="4"/>
  <c r="M43" i="4" s="1"/>
  <c r="K42" i="4"/>
  <c r="M42" i="4" s="1"/>
  <c r="K41" i="4"/>
  <c r="M41" i="4" s="1"/>
  <c r="K40" i="4"/>
  <c r="M40" i="4" s="1"/>
  <c r="K39" i="4"/>
  <c r="M39" i="4" s="1"/>
  <c r="K38" i="4"/>
  <c r="M38" i="4" s="1"/>
  <c r="K37" i="4"/>
  <c r="M37" i="4" s="1"/>
  <c r="K36" i="4"/>
  <c r="M36" i="4" s="1"/>
  <c r="K35" i="4"/>
  <c r="M35" i="4" s="1"/>
  <c r="K34" i="4"/>
  <c r="M34" i="4" s="1"/>
  <c r="K33" i="4"/>
  <c r="M33" i="4" s="1"/>
  <c r="K32" i="4"/>
  <c r="M32" i="4" s="1"/>
  <c r="H32" i="4"/>
  <c r="M31" i="4"/>
  <c r="K31" i="4"/>
  <c r="M30" i="4"/>
  <c r="K30" i="4"/>
  <c r="M29" i="4"/>
  <c r="K29" i="4"/>
  <c r="M28" i="4"/>
  <c r="K28" i="4"/>
  <c r="C27" i="4"/>
  <c r="B27" i="4"/>
  <c r="L26" i="4"/>
  <c r="K26" i="4"/>
  <c r="M26" i="4" s="1"/>
  <c r="J26" i="4"/>
  <c r="F26" i="4"/>
  <c r="M25" i="4"/>
  <c r="L25" i="4"/>
  <c r="K25" i="4"/>
  <c r="L24" i="4"/>
  <c r="K24" i="4"/>
  <c r="M24" i="4" s="1"/>
  <c r="L23" i="4"/>
  <c r="J23" i="4"/>
  <c r="K23" i="4" s="1"/>
  <c r="M23" i="4" s="1"/>
  <c r="F23" i="4"/>
  <c r="K22" i="4"/>
  <c r="M22" i="4" s="1"/>
  <c r="J22" i="4"/>
  <c r="G22" i="4"/>
  <c r="F22" i="4"/>
  <c r="L22" i="4" s="1"/>
  <c r="J21" i="4"/>
  <c r="I21" i="4"/>
  <c r="I27" i="4" s="1"/>
  <c r="H21" i="4"/>
  <c r="F21" i="4"/>
  <c r="L21" i="4" s="1"/>
  <c r="D21" i="4"/>
  <c r="D27" i="4" s="1"/>
  <c r="L20" i="4"/>
  <c r="K20" i="4"/>
  <c r="M20" i="4" s="1"/>
  <c r="G20" i="4"/>
  <c r="F20" i="4"/>
  <c r="L19" i="4"/>
  <c r="K19" i="4"/>
  <c r="M19" i="4" s="1"/>
  <c r="G19" i="4"/>
  <c r="F19" i="4"/>
  <c r="M18" i="4"/>
  <c r="L18" i="4"/>
  <c r="K18" i="4"/>
  <c r="G18" i="4"/>
  <c r="M17" i="4"/>
  <c r="L17" i="4"/>
  <c r="K17" i="4"/>
  <c r="G17" i="4"/>
  <c r="M16" i="4"/>
  <c r="L16" i="4"/>
  <c r="K16" i="4"/>
  <c r="G16" i="4"/>
  <c r="F16" i="4"/>
  <c r="J15" i="4"/>
  <c r="K15" i="4" s="1"/>
  <c r="M15" i="4" s="1"/>
  <c r="G15" i="4"/>
  <c r="E15" i="4"/>
  <c r="F15" i="4" s="1"/>
  <c r="L15" i="4" s="1"/>
  <c r="M14" i="4"/>
  <c r="L14" i="4"/>
  <c r="K14" i="4"/>
  <c r="G14" i="4"/>
  <c r="F14" i="4"/>
  <c r="M13" i="4"/>
  <c r="K13" i="4"/>
  <c r="G13" i="4"/>
  <c r="F13" i="4"/>
  <c r="L13" i="4" s="1"/>
  <c r="L12" i="4"/>
  <c r="K12" i="4"/>
  <c r="M12" i="4" s="1"/>
  <c r="G12" i="4"/>
  <c r="F12" i="4"/>
  <c r="K11" i="4"/>
  <c r="M11" i="4" s="1"/>
  <c r="J11" i="4"/>
  <c r="J27" i="4" s="1"/>
  <c r="H11" i="4"/>
  <c r="G11" i="4"/>
  <c r="F11" i="4"/>
  <c r="L11" i="4" s="1"/>
  <c r="M10" i="4"/>
  <c r="F10" i="4"/>
  <c r="L10" i="4" s="1"/>
  <c r="F9" i="4"/>
  <c r="L9" i="4" s="1"/>
  <c r="I93" i="3"/>
  <c r="M87" i="3"/>
  <c r="K87" i="3"/>
  <c r="M86" i="3"/>
  <c r="K86" i="3"/>
  <c r="M85" i="3"/>
  <c r="K85" i="3"/>
  <c r="M84" i="3"/>
  <c r="K84" i="3"/>
  <c r="M83" i="3"/>
  <c r="K83" i="3"/>
  <c r="M82" i="3"/>
  <c r="K82" i="3"/>
  <c r="M81" i="3"/>
  <c r="K81" i="3"/>
  <c r="M80" i="3"/>
  <c r="K80" i="3"/>
  <c r="M79" i="3"/>
  <c r="K79" i="3"/>
  <c r="M78" i="3"/>
  <c r="K78" i="3"/>
  <c r="M77" i="3"/>
  <c r="K77" i="3"/>
  <c r="M76" i="3"/>
  <c r="K76" i="3"/>
  <c r="M75" i="3"/>
  <c r="K75" i="3"/>
  <c r="M74" i="3"/>
  <c r="K74" i="3"/>
  <c r="M73" i="3"/>
  <c r="K73" i="3"/>
  <c r="M72" i="3"/>
  <c r="K72" i="3"/>
  <c r="M71" i="3"/>
  <c r="K71" i="3"/>
  <c r="M70" i="3"/>
  <c r="K70" i="3"/>
  <c r="M69" i="3"/>
  <c r="K69" i="3"/>
  <c r="M68" i="3"/>
  <c r="K68" i="3"/>
  <c r="M67" i="3"/>
  <c r="K67" i="3"/>
  <c r="M66" i="3"/>
  <c r="K66" i="3"/>
  <c r="M65" i="3"/>
  <c r="K65" i="3"/>
  <c r="M64" i="3"/>
  <c r="K64" i="3"/>
  <c r="M63" i="3"/>
  <c r="K63" i="3"/>
  <c r="M62" i="3"/>
  <c r="K62" i="3"/>
  <c r="M61" i="3"/>
  <c r="K61" i="3"/>
  <c r="M60" i="3"/>
  <c r="K60" i="3"/>
  <c r="M59" i="3"/>
  <c r="K59" i="3"/>
  <c r="M58" i="3"/>
  <c r="K58" i="3"/>
  <c r="M57" i="3"/>
  <c r="K57" i="3"/>
  <c r="M56" i="3"/>
  <c r="K56" i="3"/>
  <c r="M55" i="3"/>
  <c r="K55" i="3"/>
  <c r="M54" i="3"/>
  <c r="K54" i="3"/>
  <c r="M53" i="3"/>
  <c r="K53" i="3"/>
  <c r="M52" i="3"/>
  <c r="K52" i="3"/>
  <c r="M51" i="3"/>
  <c r="K51" i="3"/>
  <c r="M50" i="3"/>
  <c r="K50" i="3"/>
  <c r="M49" i="3"/>
  <c r="K49" i="3"/>
  <c r="M48" i="3"/>
  <c r="K48" i="3"/>
  <c r="M47" i="3"/>
  <c r="K47" i="3"/>
  <c r="M46" i="3"/>
  <c r="K46" i="3"/>
  <c r="M45" i="3"/>
  <c r="K45" i="3"/>
  <c r="M44" i="3"/>
  <c r="K44" i="3"/>
  <c r="M43" i="3"/>
  <c r="K43" i="3"/>
  <c r="M42" i="3"/>
  <c r="K42" i="3"/>
  <c r="M41" i="3"/>
  <c r="K41" i="3"/>
  <c r="M40" i="3"/>
  <c r="K40" i="3"/>
  <c r="M39" i="3"/>
  <c r="K39" i="3"/>
  <c r="M38" i="3"/>
  <c r="K38" i="3"/>
  <c r="M37" i="3"/>
  <c r="K37" i="3"/>
  <c r="M36" i="3"/>
  <c r="K36" i="3"/>
  <c r="M35" i="3"/>
  <c r="K35" i="3"/>
  <c r="M34" i="3"/>
  <c r="K34" i="3"/>
  <c r="M33" i="3"/>
  <c r="K33" i="3"/>
  <c r="M32" i="3"/>
  <c r="K32" i="3"/>
  <c r="H32" i="3"/>
  <c r="K31" i="3"/>
  <c r="M31" i="3" s="1"/>
  <c r="M30" i="3"/>
  <c r="K30" i="3"/>
  <c r="K29" i="3"/>
  <c r="M29" i="3" s="1"/>
  <c r="M28" i="3"/>
  <c r="K28" i="3"/>
  <c r="I27" i="3"/>
  <c r="D27" i="3"/>
  <c r="C27" i="3"/>
  <c r="B27" i="3"/>
  <c r="J26" i="3"/>
  <c r="K26" i="3" s="1"/>
  <c r="M26" i="3" s="1"/>
  <c r="F26" i="3"/>
  <c r="L26" i="3" s="1"/>
  <c r="L25" i="3"/>
  <c r="K25" i="3"/>
  <c r="M25" i="3" s="1"/>
  <c r="M24" i="3"/>
  <c r="L24" i="3"/>
  <c r="K24" i="3"/>
  <c r="M23" i="3"/>
  <c r="K23" i="3"/>
  <c r="J23" i="3"/>
  <c r="F23" i="3"/>
  <c r="L23" i="3" s="1"/>
  <c r="J22" i="3"/>
  <c r="K22" i="3" s="1"/>
  <c r="M22" i="3" s="1"/>
  <c r="G22" i="3"/>
  <c r="F22" i="3"/>
  <c r="L22" i="3" s="1"/>
  <c r="L21" i="3"/>
  <c r="J21" i="3"/>
  <c r="I21" i="3"/>
  <c r="H21" i="3"/>
  <c r="K21" i="3" s="1"/>
  <c r="M21" i="3" s="1"/>
  <c r="G21" i="3"/>
  <c r="F21" i="3"/>
  <c r="D21" i="3"/>
  <c r="M20" i="3"/>
  <c r="K20" i="3"/>
  <c r="G20" i="3"/>
  <c r="F20" i="3"/>
  <c r="L20" i="3" s="1"/>
  <c r="K19" i="3"/>
  <c r="G19" i="3"/>
  <c r="M19" i="3" s="1"/>
  <c r="F19" i="3"/>
  <c r="L19" i="3" s="1"/>
  <c r="L18" i="3"/>
  <c r="K18" i="3"/>
  <c r="M18" i="3" s="1"/>
  <c r="G18" i="3"/>
  <c r="L17" i="3"/>
  <c r="K17" i="3"/>
  <c r="M17" i="3" s="1"/>
  <c r="G17" i="3"/>
  <c r="K16" i="3"/>
  <c r="M16" i="3" s="1"/>
  <c r="G16" i="3"/>
  <c r="F16" i="3"/>
  <c r="L16" i="3" s="1"/>
  <c r="K15" i="3"/>
  <c r="M15" i="3" s="1"/>
  <c r="J15" i="3"/>
  <c r="F15" i="3"/>
  <c r="L15" i="3" s="1"/>
  <c r="E15" i="3"/>
  <c r="G15" i="3" s="1"/>
  <c r="K14" i="3"/>
  <c r="M14" i="3" s="1"/>
  <c r="G14" i="3"/>
  <c r="F14" i="3"/>
  <c r="L14" i="3" s="1"/>
  <c r="L13" i="3"/>
  <c r="K13" i="3"/>
  <c r="M13" i="3" s="1"/>
  <c r="G13" i="3"/>
  <c r="F13" i="3"/>
  <c r="M12" i="3"/>
  <c r="K12" i="3"/>
  <c r="G12" i="3"/>
  <c r="F12" i="3"/>
  <c r="L12" i="3" s="1"/>
  <c r="L11" i="3"/>
  <c r="J11" i="3"/>
  <c r="J27" i="3" s="1"/>
  <c r="H11" i="3"/>
  <c r="K11" i="3" s="1"/>
  <c r="M11" i="3" s="1"/>
  <c r="G11" i="3"/>
  <c r="F11" i="3"/>
  <c r="M10" i="3"/>
  <c r="L10" i="3"/>
  <c r="F10" i="3"/>
  <c r="K9" i="3"/>
  <c r="H9" i="3"/>
  <c r="H27" i="3" s="1"/>
  <c r="H88" i="3" s="1"/>
  <c r="K88" i="3" s="1"/>
  <c r="G9" i="3"/>
  <c r="G27" i="3" s="1"/>
  <c r="F9" i="3"/>
  <c r="L9" i="3" s="1"/>
  <c r="H9" i="2"/>
  <c r="G9" i="2"/>
  <c r="I93" i="2"/>
  <c r="M87" i="2"/>
  <c r="K87" i="2"/>
  <c r="M86" i="2"/>
  <c r="K86" i="2"/>
  <c r="M85" i="2"/>
  <c r="K85" i="2"/>
  <c r="M84" i="2"/>
  <c r="K84" i="2"/>
  <c r="M83" i="2"/>
  <c r="K83" i="2"/>
  <c r="M82" i="2"/>
  <c r="K82" i="2"/>
  <c r="M81" i="2"/>
  <c r="K81" i="2"/>
  <c r="M80" i="2"/>
  <c r="K80" i="2"/>
  <c r="M79" i="2"/>
  <c r="K79" i="2"/>
  <c r="M78" i="2"/>
  <c r="K78" i="2"/>
  <c r="M77" i="2"/>
  <c r="K77" i="2"/>
  <c r="M76" i="2"/>
  <c r="K76" i="2"/>
  <c r="M75" i="2"/>
  <c r="K75" i="2"/>
  <c r="M74" i="2"/>
  <c r="K74" i="2"/>
  <c r="M73" i="2"/>
  <c r="K73" i="2"/>
  <c r="M72" i="2"/>
  <c r="K72" i="2"/>
  <c r="M71" i="2"/>
  <c r="K71" i="2"/>
  <c r="M70" i="2"/>
  <c r="K70" i="2"/>
  <c r="M69" i="2"/>
  <c r="K69" i="2"/>
  <c r="M68" i="2"/>
  <c r="K68" i="2"/>
  <c r="M67" i="2"/>
  <c r="K67" i="2"/>
  <c r="M66" i="2"/>
  <c r="K66" i="2"/>
  <c r="M65" i="2"/>
  <c r="K65" i="2"/>
  <c r="M64" i="2"/>
  <c r="K64" i="2"/>
  <c r="M63" i="2"/>
  <c r="K63" i="2"/>
  <c r="M62" i="2"/>
  <c r="K62" i="2"/>
  <c r="M61" i="2"/>
  <c r="K61" i="2"/>
  <c r="M60" i="2"/>
  <c r="K60" i="2"/>
  <c r="M59" i="2"/>
  <c r="K59" i="2"/>
  <c r="M58" i="2"/>
  <c r="K58" i="2"/>
  <c r="M57" i="2"/>
  <c r="K57" i="2"/>
  <c r="M56" i="2"/>
  <c r="K56" i="2"/>
  <c r="M55" i="2"/>
  <c r="K55" i="2"/>
  <c r="M54" i="2"/>
  <c r="K54" i="2"/>
  <c r="M53" i="2"/>
  <c r="K53" i="2"/>
  <c r="M52" i="2"/>
  <c r="K52" i="2"/>
  <c r="M51" i="2"/>
  <c r="K51" i="2"/>
  <c r="M50" i="2"/>
  <c r="K50" i="2"/>
  <c r="M49" i="2"/>
  <c r="K49" i="2"/>
  <c r="M48" i="2"/>
  <c r="K48" i="2"/>
  <c r="M47" i="2"/>
  <c r="K47" i="2"/>
  <c r="M46" i="2"/>
  <c r="K46" i="2"/>
  <c r="M45" i="2"/>
  <c r="K45" i="2"/>
  <c r="M44" i="2"/>
  <c r="K44" i="2"/>
  <c r="M43" i="2"/>
  <c r="K43" i="2"/>
  <c r="M42" i="2"/>
  <c r="K42" i="2"/>
  <c r="M41" i="2"/>
  <c r="K41" i="2"/>
  <c r="M40" i="2"/>
  <c r="K40" i="2"/>
  <c r="M39" i="2"/>
  <c r="K39" i="2"/>
  <c r="M38" i="2"/>
  <c r="K38" i="2"/>
  <c r="M37" i="2"/>
  <c r="K37" i="2"/>
  <c r="M36" i="2"/>
  <c r="K36" i="2"/>
  <c r="M35" i="2"/>
  <c r="K35" i="2"/>
  <c r="M34" i="2"/>
  <c r="K34" i="2"/>
  <c r="M33" i="2"/>
  <c r="K33" i="2"/>
  <c r="M32" i="2"/>
  <c r="K32" i="2"/>
  <c r="H32" i="2"/>
  <c r="K31" i="2"/>
  <c r="M31" i="2" s="1"/>
  <c r="M30" i="2"/>
  <c r="K30" i="2"/>
  <c r="K29" i="2"/>
  <c r="M29" i="2" s="1"/>
  <c r="M28" i="2"/>
  <c r="K28" i="2"/>
  <c r="I27" i="2"/>
  <c r="C27" i="2"/>
  <c r="B27" i="2"/>
  <c r="J26" i="2"/>
  <c r="K26" i="2" s="1"/>
  <c r="M26" i="2" s="1"/>
  <c r="F26" i="2"/>
  <c r="L26" i="2" s="1"/>
  <c r="L25" i="2"/>
  <c r="K25" i="2"/>
  <c r="M25" i="2" s="1"/>
  <c r="M24" i="2"/>
  <c r="L24" i="2"/>
  <c r="K24" i="2"/>
  <c r="M23" i="2"/>
  <c r="K23" i="2"/>
  <c r="J23" i="2"/>
  <c r="F23" i="2"/>
  <c r="L23" i="2" s="1"/>
  <c r="J22" i="2"/>
  <c r="K22" i="2" s="1"/>
  <c r="M22" i="2" s="1"/>
  <c r="G22" i="2"/>
  <c r="F22" i="2"/>
  <c r="L22" i="2" s="1"/>
  <c r="L21" i="2"/>
  <c r="J21" i="2"/>
  <c r="I21" i="2"/>
  <c r="H21" i="2"/>
  <c r="K21" i="2" s="1"/>
  <c r="M21" i="2" s="1"/>
  <c r="G21" i="2"/>
  <c r="F21" i="2"/>
  <c r="D21" i="2"/>
  <c r="D27" i="2" s="1"/>
  <c r="M20" i="2"/>
  <c r="K20" i="2"/>
  <c r="G20" i="2"/>
  <c r="F20" i="2"/>
  <c r="L20" i="2" s="1"/>
  <c r="K19" i="2"/>
  <c r="G19" i="2"/>
  <c r="M19" i="2" s="1"/>
  <c r="F19" i="2"/>
  <c r="L19" i="2" s="1"/>
  <c r="L18" i="2"/>
  <c r="K18" i="2"/>
  <c r="M18" i="2" s="1"/>
  <c r="G18" i="2"/>
  <c r="L17" i="2"/>
  <c r="K17" i="2"/>
  <c r="M17" i="2" s="1"/>
  <c r="G17" i="2"/>
  <c r="K16" i="2"/>
  <c r="M16" i="2" s="1"/>
  <c r="G16" i="2"/>
  <c r="F16" i="2"/>
  <c r="L16" i="2" s="1"/>
  <c r="K15" i="2"/>
  <c r="M15" i="2" s="1"/>
  <c r="J15" i="2"/>
  <c r="F15" i="2"/>
  <c r="L15" i="2" s="1"/>
  <c r="E15" i="2"/>
  <c r="G15" i="2" s="1"/>
  <c r="K14" i="2"/>
  <c r="M14" i="2" s="1"/>
  <c r="G14" i="2"/>
  <c r="F14" i="2"/>
  <c r="L14" i="2" s="1"/>
  <c r="L13" i="2"/>
  <c r="K13" i="2"/>
  <c r="M13" i="2" s="1"/>
  <c r="G13" i="2"/>
  <c r="F13" i="2"/>
  <c r="M12" i="2"/>
  <c r="K12" i="2"/>
  <c r="G12" i="2"/>
  <c r="F12" i="2"/>
  <c r="L12" i="2" s="1"/>
  <c r="L11" i="2"/>
  <c r="J11" i="2"/>
  <c r="J27" i="2" s="1"/>
  <c r="H11" i="2"/>
  <c r="K11" i="2" s="1"/>
  <c r="M11" i="2" s="1"/>
  <c r="G11" i="2"/>
  <c r="F11" i="2"/>
  <c r="M10" i="2"/>
  <c r="L10" i="2"/>
  <c r="F10" i="2"/>
  <c r="K9" i="2"/>
  <c r="G27" i="2"/>
  <c r="F9" i="2"/>
  <c r="L9" i="2" s="1"/>
  <c r="I93" i="1"/>
  <c r="K87" i="1"/>
  <c r="M87" i="1" s="1"/>
  <c r="K86" i="1"/>
  <c r="M86" i="1" s="1"/>
  <c r="K85" i="1"/>
  <c r="M85" i="1" s="1"/>
  <c r="K84" i="1"/>
  <c r="M84" i="1" s="1"/>
  <c r="K83" i="1"/>
  <c r="M83" i="1" s="1"/>
  <c r="K82" i="1"/>
  <c r="M82" i="1" s="1"/>
  <c r="K81" i="1"/>
  <c r="M81" i="1" s="1"/>
  <c r="K80" i="1"/>
  <c r="M80" i="1" s="1"/>
  <c r="K79" i="1"/>
  <c r="M79" i="1" s="1"/>
  <c r="K78" i="1"/>
  <c r="M78" i="1" s="1"/>
  <c r="K77" i="1"/>
  <c r="M77" i="1" s="1"/>
  <c r="K76" i="1"/>
  <c r="M76" i="1" s="1"/>
  <c r="K75" i="1"/>
  <c r="M75" i="1" s="1"/>
  <c r="K74" i="1"/>
  <c r="M74" i="1" s="1"/>
  <c r="K73" i="1"/>
  <c r="M73" i="1" s="1"/>
  <c r="K72" i="1"/>
  <c r="M72" i="1" s="1"/>
  <c r="K71" i="1"/>
  <c r="M71" i="1" s="1"/>
  <c r="K70" i="1"/>
  <c r="M70" i="1" s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63" i="1"/>
  <c r="M63" i="1" s="1"/>
  <c r="K62" i="1"/>
  <c r="M62" i="1" s="1"/>
  <c r="K61" i="1"/>
  <c r="M61" i="1" s="1"/>
  <c r="K60" i="1"/>
  <c r="M60" i="1" s="1"/>
  <c r="K59" i="1"/>
  <c r="M59" i="1" s="1"/>
  <c r="K58" i="1"/>
  <c r="M58" i="1" s="1"/>
  <c r="K57" i="1"/>
  <c r="M57" i="1" s="1"/>
  <c r="K56" i="1"/>
  <c r="M56" i="1" s="1"/>
  <c r="K55" i="1"/>
  <c r="M55" i="1" s="1"/>
  <c r="K54" i="1"/>
  <c r="M54" i="1" s="1"/>
  <c r="K53" i="1"/>
  <c r="M53" i="1" s="1"/>
  <c r="K52" i="1"/>
  <c r="M52" i="1" s="1"/>
  <c r="K51" i="1"/>
  <c r="M51" i="1" s="1"/>
  <c r="K50" i="1"/>
  <c r="M50" i="1" s="1"/>
  <c r="K49" i="1"/>
  <c r="M49" i="1" s="1"/>
  <c r="K48" i="1"/>
  <c r="M48" i="1" s="1"/>
  <c r="K47" i="1"/>
  <c r="M47" i="1" s="1"/>
  <c r="K46" i="1"/>
  <c r="M46" i="1" s="1"/>
  <c r="K45" i="1"/>
  <c r="M45" i="1" s="1"/>
  <c r="K44" i="1"/>
  <c r="M44" i="1" s="1"/>
  <c r="K43" i="1"/>
  <c r="M43" i="1" s="1"/>
  <c r="K42" i="1"/>
  <c r="M42" i="1" s="1"/>
  <c r="K41" i="1"/>
  <c r="M41" i="1" s="1"/>
  <c r="K40" i="1"/>
  <c r="M40" i="1" s="1"/>
  <c r="K39" i="1"/>
  <c r="M39" i="1" s="1"/>
  <c r="K38" i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M31" i="1"/>
  <c r="K31" i="1"/>
  <c r="K30" i="1"/>
  <c r="M30" i="1" s="1"/>
  <c r="M29" i="1"/>
  <c r="K29" i="1"/>
  <c r="K28" i="1"/>
  <c r="M28" i="1" s="1"/>
  <c r="I27" i="1"/>
  <c r="C27" i="1"/>
  <c r="B27" i="1"/>
  <c r="K26" i="1"/>
  <c r="M26" i="1" s="1"/>
  <c r="J26" i="1"/>
  <c r="F26" i="1"/>
  <c r="L26" i="1" s="1"/>
  <c r="L25" i="1"/>
  <c r="K25" i="1"/>
  <c r="M25" i="1" s="1"/>
  <c r="L24" i="1"/>
  <c r="K24" i="1"/>
  <c r="M24" i="1" s="1"/>
  <c r="L23" i="1"/>
  <c r="J23" i="1"/>
  <c r="K23" i="1" s="1"/>
  <c r="M23" i="1" s="1"/>
  <c r="F23" i="1"/>
  <c r="K22" i="1"/>
  <c r="M22" i="1" s="1"/>
  <c r="F22" i="1"/>
  <c r="L22" i="1" s="1"/>
  <c r="K21" i="1"/>
  <c r="G21" i="1"/>
  <c r="F21" i="1"/>
  <c r="L21" i="1" s="1"/>
  <c r="D27" i="1"/>
  <c r="K20" i="1"/>
  <c r="G20" i="1"/>
  <c r="M20" i="1" s="1"/>
  <c r="F20" i="1"/>
  <c r="L20" i="1" s="1"/>
  <c r="K19" i="1"/>
  <c r="M19" i="1" s="1"/>
  <c r="G19" i="1"/>
  <c r="F19" i="1"/>
  <c r="L19" i="1" s="1"/>
  <c r="L18" i="1"/>
  <c r="K18" i="1"/>
  <c r="G18" i="1"/>
  <c r="L17" i="1"/>
  <c r="K17" i="1"/>
  <c r="G17" i="1"/>
  <c r="L16" i="1"/>
  <c r="G16" i="1"/>
  <c r="F16" i="1"/>
  <c r="K15" i="1"/>
  <c r="J15" i="1"/>
  <c r="E15" i="1"/>
  <c r="F15" i="1" s="1"/>
  <c r="L15" i="1" s="1"/>
  <c r="L14" i="1"/>
  <c r="K14" i="1"/>
  <c r="M14" i="1" s="1"/>
  <c r="G14" i="1"/>
  <c r="F14" i="1"/>
  <c r="K13" i="1"/>
  <c r="G13" i="1"/>
  <c r="F13" i="1"/>
  <c r="L13" i="1" s="1"/>
  <c r="K12" i="1"/>
  <c r="G12" i="1"/>
  <c r="M12" i="1" s="1"/>
  <c r="F12" i="1"/>
  <c r="L12" i="1" s="1"/>
  <c r="J11" i="1"/>
  <c r="H11" i="1"/>
  <c r="H27" i="1" s="1"/>
  <c r="H88" i="1" s="1"/>
  <c r="K88" i="1" s="1"/>
  <c r="G11" i="1"/>
  <c r="F11" i="1"/>
  <c r="L11" i="1" s="1"/>
  <c r="M10" i="1"/>
  <c r="F10" i="1"/>
  <c r="L10" i="1" s="1"/>
  <c r="K9" i="1"/>
  <c r="G9" i="1"/>
  <c r="F9" i="1"/>
  <c r="L9" i="1" s="1"/>
  <c r="K98" i="5" l="1"/>
  <c r="M18" i="1"/>
  <c r="M13" i="1"/>
  <c r="J27" i="1"/>
  <c r="M17" i="1"/>
  <c r="M21" i="1"/>
  <c r="M9" i="4"/>
  <c r="H27" i="4"/>
  <c r="H88" i="4" s="1"/>
  <c r="K88" i="4" s="1"/>
  <c r="G21" i="4"/>
  <c r="G27" i="4" s="1"/>
  <c r="K21" i="4"/>
  <c r="M21" i="4" s="1"/>
  <c r="E27" i="4"/>
  <c r="F27" i="4" s="1"/>
  <c r="K27" i="3"/>
  <c r="E27" i="3"/>
  <c r="F27" i="3" s="1"/>
  <c r="M9" i="3"/>
  <c r="K27" i="2"/>
  <c r="H27" i="2"/>
  <c r="H88" i="2" s="1"/>
  <c r="K88" i="2" s="1"/>
  <c r="E27" i="2"/>
  <c r="F27" i="2" s="1"/>
  <c r="M9" i="2"/>
  <c r="E27" i="1"/>
  <c r="F27" i="1" s="1"/>
  <c r="M9" i="1"/>
  <c r="K11" i="1"/>
  <c r="M11" i="1" s="1"/>
  <c r="G15" i="1"/>
  <c r="G27" i="1" s="1"/>
  <c r="K100" i="5" l="1"/>
  <c r="M98" i="5"/>
  <c r="M15" i="1"/>
  <c r="K27" i="4"/>
  <c r="K27" i="1"/>
  <c r="G21" i="21"/>
  <c r="G26" i="21" s="1"/>
  <c r="G64" i="21" s="1"/>
  <c r="D26" i="21"/>
  <c r="D64" i="21" s="1"/>
  <c r="N21" i="21" l="1"/>
  <c r="N26" i="21"/>
</calcChain>
</file>

<file path=xl/sharedStrings.xml><?xml version="1.0" encoding="utf-8"?>
<sst xmlns="http://schemas.openxmlformats.org/spreadsheetml/2006/main" count="3659" uniqueCount="181">
  <si>
    <t>MUNICIPIO DE: TECOZAUTLA, HGO.</t>
  </si>
  <si>
    <t>CUADRO RESUMEN DE LA SITUACIÓN FINANCIERA</t>
  </si>
  <si>
    <r>
      <t xml:space="preserve">°  Nota: </t>
    </r>
    <r>
      <rPr>
        <sz val="12"/>
        <rFont val="Arial Narrow"/>
        <family val="2"/>
      </rPr>
      <t>anexar papel de trabajo de cómo se integran las cuentas Deudoras y Acreedoras</t>
    </r>
  </si>
  <si>
    <t>CUENTAS DE RESULTADOS</t>
  </si>
  <si>
    <t>CUENTAS DE BALANCE</t>
  </si>
  <si>
    <t>FUENTE DE FINANCIAMIENTO</t>
  </si>
  <si>
    <t>APROBADO / MODIFICADO ANUAL</t>
  </si>
  <si>
    <t>INGRESOS Y OTROS BENEFICIOS ACUMULADOS</t>
  </si>
  <si>
    <t>INTERESES GENERADOS ACUMULADOS</t>
  </si>
  <si>
    <t>GASTOS Y OTRAS PÉRDIDAS ACUMULADOS</t>
  </si>
  <si>
    <t>%</t>
  </si>
  <si>
    <t>POR EROGAR
(D)</t>
  </si>
  <si>
    <t>SALDOS EN CAJA Y BANCOS
(A)</t>
  </si>
  <si>
    <t>° DEUDORAS DE ACTIVO
(B)</t>
  </si>
  <si>
    <t xml:space="preserve">° ACREEDORAS DE PASIVO
( C ) </t>
  </si>
  <si>
    <t>DIFERENCIA
A+B-C = D</t>
  </si>
  <si>
    <t>AVANCE %</t>
  </si>
  <si>
    <t xml:space="preserve">FIN. </t>
  </si>
  <si>
    <t>0001 REPO</t>
  </si>
  <si>
    <t>033 PRODDER</t>
  </si>
  <si>
    <t>1001 FGP</t>
  </si>
  <si>
    <t>1002 ISAN</t>
  </si>
  <si>
    <t>1003 IEPS TAB</t>
  </si>
  <si>
    <t>1004 IEPS GAS</t>
  </si>
  <si>
    <t>1005 FFM</t>
  </si>
  <si>
    <t>1006 FIS</t>
  </si>
  <si>
    <t>1007 COM</t>
  </si>
  <si>
    <t>1008 FEIEF</t>
  </si>
  <si>
    <t>1009 CISAN</t>
  </si>
  <si>
    <t>2001 FAISM</t>
  </si>
  <si>
    <t>2002 FORTAMUN</t>
  </si>
  <si>
    <t>2003 OTROS</t>
  </si>
  <si>
    <t>0100 FORTALECE</t>
  </si>
  <si>
    <t>SUMAS 2016</t>
  </si>
  <si>
    <t>1053 CONTINGENCIAS</t>
  </si>
  <si>
    <t>SUMAS 2015</t>
  </si>
  <si>
    <t>0002 BENE</t>
  </si>
  <si>
    <t>SUMAS 2014</t>
  </si>
  <si>
    <t>SUMAS 2013</t>
  </si>
  <si>
    <t>SUMAS 2012</t>
  </si>
  <si>
    <t>SUMAS 2011</t>
  </si>
  <si>
    <t>SUMAS 2010</t>
  </si>
  <si>
    <t>SUMAS 2009</t>
  </si>
  <si>
    <t xml:space="preserve">SUMA EJERCICIOS ANTERIORES </t>
  </si>
  <si>
    <t>TOTAL</t>
  </si>
  <si>
    <t>I  R  R  E  D  U  C  T  I  B  L  E  S</t>
  </si>
  <si>
    <t>CONCEPTO</t>
  </si>
  <si>
    <t>PRESUPUESTO</t>
  </si>
  <si>
    <t>ACUMULADO</t>
  </si>
  <si>
    <t>ENERGIA ELECTRICA</t>
  </si>
  <si>
    <t>Formato : MR-02</t>
  </si>
  <si>
    <t>SUMAS 2017</t>
  </si>
  <si>
    <t>.</t>
  </si>
  <si>
    <t>1007 FOCOM</t>
  </si>
  <si>
    <t>MUNICIPIO DE TECOZAUTLA</t>
  </si>
  <si>
    <t>°  Nota: anexar papel de trabajo de cómo se integran las cuentas Deudoras y Acreedoras</t>
  </si>
  <si>
    <t>2003 PUEBLOS Y CULTURAS 2017</t>
  </si>
  <si>
    <t>3004 PDR</t>
  </si>
  <si>
    <t>3005 FOFIN</t>
  </si>
  <si>
    <t>CUADRO RESÚMEN AL 31 DE DICIEMBRE DE 2017.</t>
  </si>
  <si>
    <t>SUMAS 2018</t>
  </si>
  <si>
    <t>CUADRO RESÚMEN AL 31 DE MARZO DE 2018.</t>
  </si>
  <si>
    <t>1111-0001-2017    1112-02-0001-2017-01</t>
  </si>
  <si>
    <t>1123-0001-2017  + 1125-0001-2017  +  1131-0001-2017-01 + 1131-1001-2017-01</t>
  </si>
  <si>
    <t>21117-01-0001-2017+  2117-02-0001-2017 + 2117-04-0001-2017 + 2119-0001-2017</t>
  </si>
  <si>
    <t>1112-02-1001-2017-01</t>
  </si>
  <si>
    <t>1123-1001-2017  + 1125-1001-2017</t>
  </si>
  <si>
    <t>2117-01-1001-2017 + 2117-02-1001-2017 + 2117-04-1001-2017 + 2119-1001-2017</t>
  </si>
  <si>
    <t>1112-02-1002-2017-01</t>
  </si>
  <si>
    <t>1112-02-1003-2017-01</t>
  </si>
  <si>
    <t>1112-02-1004-2017-01</t>
  </si>
  <si>
    <t>1112-02-1005-2017-01</t>
  </si>
  <si>
    <t>1123-1005-2017</t>
  </si>
  <si>
    <t>2117-01-1005-2017 + 2119-1005-2017</t>
  </si>
  <si>
    <t>1112-02-1006-2017-01</t>
  </si>
  <si>
    <t>1112-02-1007-2017-01</t>
  </si>
  <si>
    <t>2119-1007-2017</t>
  </si>
  <si>
    <t>1112-02-1008-2017-01</t>
  </si>
  <si>
    <t>1112-02-1009-2017-01</t>
  </si>
  <si>
    <t>1112-02-2001-2017-01</t>
  </si>
  <si>
    <t>1112-03-01-2001-2017 + 1112-03-02-2001-2017 + 1112-03-04-2001-2017</t>
  </si>
  <si>
    <t>1112-02-2002-2017-01</t>
  </si>
  <si>
    <t>1123-2002-2017 + 1125-2002-2017</t>
  </si>
  <si>
    <t>2117-01-2002-2017 + 2117-02-2002-2017 + 2119-2002-2017</t>
  </si>
  <si>
    <t>1112-02-2003-2017-01</t>
  </si>
  <si>
    <t>2119-2003-2017</t>
  </si>
  <si>
    <t>1112-02-3005-2017-01</t>
  </si>
  <si>
    <t>2117-03-01-3005-2017 + 2117-03-02-3005-2017 + 2117-03-04-3005-2017 + 2119-3005-2017</t>
  </si>
  <si>
    <t>1112-02-3004-2017-01</t>
  </si>
  <si>
    <t>2117-03-01-3004-2017 + 2117-03-02-3004-2017 + 2117-03-04-3004-2017 + 2119-3004-2017</t>
  </si>
  <si>
    <t>1123-0001-2016 + 1124-41</t>
  </si>
  <si>
    <t>1123-1001-2016</t>
  </si>
  <si>
    <t>2117-01-1001-2016 + 2117-02-1001-2016 + 2119-1001-2016</t>
  </si>
  <si>
    <t>1123-1005-2016</t>
  </si>
  <si>
    <t>1134-000270    + 1134-000214 +       1134-000206</t>
  </si>
  <si>
    <t>2117-02-2001-2016 + 2117-03-01-2001-2016 + 2117-03-02-2001-2016 + 2117-03-04-2001-2016</t>
  </si>
  <si>
    <t>1123-2002-2016</t>
  </si>
  <si>
    <t>2117-01-2002-2016 + 2119-2002-2016</t>
  </si>
  <si>
    <t>1111-0001-2018    1112-02-0001-2018-01</t>
  </si>
  <si>
    <t>1112-02-1002-2018-01</t>
  </si>
  <si>
    <t>1112-02-1003-2018-01</t>
  </si>
  <si>
    <t>1112-02-1004-2018-01</t>
  </si>
  <si>
    <t>1112-02-1005-2018-01</t>
  </si>
  <si>
    <t>1112-02-1006-2018-01</t>
  </si>
  <si>
    <t>1112-02-1007-2018-01</t>
  </si>
  <si>
    <t>1112-02-1008-2018-01</t>
  </si>
  <si>
    <t>1112-02-1009-2018-01</t>
  </si>
  <si>
    <t>1112-02-2001-2018-01</t>
  </si>
  <si>
    <t>1112-02-2002-2018-01</t>
  </si>
  <si>
    <t xml:space="preserve">1123-0001-2018  + 1125-0001-2018 </t>
  </si>
  <si>
    <t>1123-1001-2018  + 1125-1001-2018</t>
  </si>
  <si>
    <t>1111-1001-2018+  1112-02-1001-2018-01</t>
  </si>
  <si>
    <t>2119-1002-2018</t>
  </si>
  <si>
    <t>2119-1003-2018</t>
  </si>
  <si>
    <t>2119-1004-2018</t>
  </si>
  <si>
    <t>1123-1006-2018</t>
  </si>
  <si>
    <t>1125-1005-2018</t>
  </si>
  <si>
    <t>2117-01-1005-2018+ 2117-01-1005-2018 + 2119-1005-2018</t>
  </si>
  <si>
    <t>1123-2002-2018 + 1125-2002-2018</t>
  </si>
  <si>
    <t>2117-01-2002-2018 + 2119-2002-2018</t>
  </si>
  <si>
    <t>2117-01-0001-2016 + 2119-0001-2016</t>
  </si>
  <si>
    <t>2117-01-1005-2016 + 2117-02-1005-2016 + 2119-1005-2016</t>
  </si>
  <si>
    <t>2117-01-1001-2018 + 2117-02-1001-2018 + 2119-1001-2018</t>
  </si>
  <si>
    <t>2117-01-0001-2018+  2119-0001-2018</t>
  </si>
  <si>
    <t>CUADRO RESÚMEN AL 30 DE JUNIO DE 2018.</t>
  </si>
  <si>
    <t>ELABORÓ</t>
  </si>
  <si>
    <t>LIC. INOCENCIO ROJO MEJIA.</t>
  </si>
  <si>
    <t>TESORERO MUNICIPAL.</t>
  </si>
  <si>
    <t>AUTORIZÓ</t>
  </si>
  <si>
    <t>ING. VICTOR JAVIER CRUZ SOTO.</t>
  </si>
  <si>
    <t>PRESIDENTE MUNICIPAL.</t>
  </si>
  <si>
    <t>HOJA DE TRABAJO DEL</t>
  </si>
  <si>
    <t>CUADRO RESÚMEN AL 30 DE ABRIL DE 2018.</t>
  </si>
  <si>
    <t>CUADRO RESÚMEN AL 31 DE MAYO DE 2018.</t>
  </si>
  <si>
    <t>CUADRO RESÚMEN AL 31 DE JULIO DE 2018.</t>
  </si>
  <si>
    <t>F. TRANSVERSALIDAD PERSPEC. GÉNERO.</t>
  </si>
  <si>
    <t>1010 ISR PARTICIPABLE</t>
  </si>
  <si>
    <t>CUADRO RESÚMEN AL 31 DE AGOSTO DE 2018.</t>
  </si>
  <si>
    <t>CUADRO RESÚMEN AL 31 DE DICIEMBRE DE 2018.</t>
  </si>
  <si>
    <t>SEDATU</t>
  </si>
  <si>
    <t xml:space="preserve"> </t>
  </si>
  <si>
    <t>CUADRO RESÚMEN AL 31 DE OCTUBRE DE 2018.</t>
  </si>
  <si>
    <t>CUADRO RESÚMEN AL 30 DE NOVIEMBRE DE 2018.</t>
  </si>
  <si>
    <t>+4100+4214</t>
  </si>
  <si>
    <t>SUMAS 2019</t>
  </si>
  <si>
    <t>CUADRO RESÚMEN AL 31 DE ENERO DE 2019.</t>
  </si>
  <si>
    <t>MUNICIPIO DE TECOZAUTLA.</t>
  </si>
  <si>
    <t>CUADRO RESUMEN DE LA SITUACIÓN FINANCIERA.</t>
  </si>
  <si>
    <t>CUADRO RESÚMEN AL 31 DE MARZO DE 2019.</t>
  </si>
  <si>
    <t>1111-0001-2019    1112-02-0001-2019-01</t>
  </si>
  <si>
    <t>CUADRO RESÚMEN 2019.</t>
  </si>
  <si>
    <t>1123-0001-2019  + 1125-0001-2019</t>
  </si>
  <si>
    <t>2117-01-0001-2019+  2119-0001-2019</t>
  </si>
  <si>
    <t>1111-1001-2019+  1112-02-1001-2019-01</t>
  </si>
  <si>
    <t>1123-1001-2019  + 1125-1001-2019</t>
  </si>
  <si>
    <t>2117-01-1001-2019 + 2117-02-1001-2019 + 2119-1001-2019</t>
  </si>
  <si>
    <t>1112-02-1002-2019-01</t>
  </si>
  <si>
    <t>2119-1002-2019</t>
  </si>
  <si>
    <t>1112-02-1003-2019-01</t>
  </si>
  <si>
    <t>2119-1003-2019</t>
  </si>
  <si>
    <t>2119-1004-2019</t>
  </si>
  <si>
    <t>1112-02-1004-2019-01</t>
  </si>
  <si>
    <t>1112-02-1005-2019-01</t>
  </si>
  <si>
    <t>1125-1005-2019</t>
  </si>
  <si>
    <t>2117-01-1005-2019+ 2117-01-1005-2019 + 2119-1005-2019</t>
  </si>
  <si>
    <t>1112-02-1006-2019-01</t>
  </si>
  <si>
    <t>1123-1006-2019</t>
  </si>
  <si>
    <t>2119-1007-2019</t>
  </si>
  <si>
    <t>1112-02-1007-2019-01</t>
  </si>
  <si>
    <t>1112-02-1008-2019-01</t>
  </si>
  <si>
    <t>1112-02-1009-2019-01</t>
  </si>
  <si>
    <t>1112-02-2001-2019-01</t>
  </si>
  <si>
    <t>1112-02-2002-2019-01</t>
  </si>
  <si>
    <t>1123-2002-2019 + 1125-2002-2019</t>
  </si>
  <si>
    <t>2117-01-2002-2019 + 2119-2002-2019</t>
  </si>
  <si>
    <t>CUADRO RESÚMEN AL 30 DE ABRIL DE 2019.</t>
  </si>
  <si>
    <t>CUADRO RESÚMEN AL 31 DE MAYO DE 2019.</t>
  </si>
  <si>
    <t>CUADRO RESÚMEN AL 30 DE JUNIO DE 2019.</t>
  </si>
  <si>
    <t>CUADRO RESÚMEN AL 31 DE JULIO DE 2019.</t>
  </si>
  <si>
    <t>CUADRO RESÚMEN AL 31 DE AGOSTO DE 2019.</t>
  </si>
  <si>
    <t>CUADRO RESÚMEN AL 30 DE SEPTIEMBRE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</si>
</sst>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_ ;[Red]\-#,##0.00\ "/>
    <numFmt numFmtId="165" formatCode="&quot;$&quot;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theme="4" tint="-0.249977111117893"/>
      <name val="Arial Narrow"/>
      <family val="2"/>
    </font>
    <font>
      <b/>
      <sz val="10"/>
      <color rgb="FF0000FF"/>
      <name val="Arial Narrow"/>
      <family val="2"/>
    </font>
    <font>
      <sz val="10"/>
      <color rgb="FF0000FF"/>
      <name val="Arial Narrow"/>
      <family val="2"/>
    </font>
    <font>
      <b/>
      <sz val="10"/>
      <color rgb="FFC00000"/>
      <name val="Arial Narrow"/>
      <family val="2"/>
    </font>
    <font>
      <b/>
      <sz val="10"/>
      <color rgb="FFFF0000"/>
      <name val="Arial Narrow"/>
      <family val="2"/>
    </font>
    <font>
      <sz val="14"/>
      <name val="Arial Narrow"/>
      <family val="2"/>
    </font>
    <font>
      <b/>
      <sz val="14"/>
      <color rgb="FFFF0000"/>
      <name val="Arial Narrow"/>
      <family val="2"/>
    </font>
    <font>
      <b/>
      <sz val="14"/>
      <color rgb="FF0000FF"/>
      <name val="Arial Narrow"/>
      <family val="2"/>
    </font>
    <font>
      <b/>
      <sz val="14"/>
      <color rgb="FFC00000"/>
      <name val="Arial Narrow"/>
      <family val="2"/>
    </font>
    <font>
      <sz val="14"/>
      <color rgb="FF0000FF"/>
      <name val="Arial Narrow"/>
      <family val="2"/>
    </font>
    <font>
      <b/>
      <sz val="14"/>
      <color rgb="FF006600"/>
      <name val="Arial Narrow"/>
      <family val="2"/>
    </font>
    <font>
      <b/>
      <sz val="9"/>
      <color rgb="FF006600"/>
      <name val="Arial Narrow"/>
      <family val="2"/>
    </font>
    <font>
      <sz val="14"/>
      <color rgb="FF006600"/>
      <name val="Arial Narrow"/>
      <family val="2"/>
    </font>
    <font>
      <sz val="10"/>
      <color rgb="FF006600"/>
      <name val="Arial Narrow"/>
      <family val="2"/>
    </font>
    <font>
      <sz val="10"/>
      <color rgb="FFC00000"/>
      <name val="Arial Narrow"/>
      <family val="2"/>
    </font>
    <font>
      <b/>
      <sz val="14"/>
      <name val="Arial Narrow"/>
      <family val="2"/>
    </font>
    <font>
      <b/>
      <sz val="9"/>
      <color rgb="FF0000FF"/>
      <name val="Arial Narrow"/>
      <family val="2"/>
    </font>
    <font>
      <sz val="9"/>
      <color rgb="FF0000FF"/>
      <name val="Arial Narrow"/>
      <family val="2"/>
    </font>
    <font>
      <sz val="10"/>
      <color rgb="FFFF0000"/>
      <name val="Arial Narrow"/>
      <family val="2"/>
    </font>
    <font>
      <b/>
      <sz val="14"/>
      <color rgb="FF009900"/>
      <name val="Arial Narrow"/>
      <family val="2"/>
    </font>
    <font>
      <b/>
      <sz val="14"/>
      <color rgb="FFFFC000"/>
      <name val="Arial Narrow"/>
      <family val="2"/>
    </font>
    <font>
      <sz val="9"/>
      <color rgb="FFFF3300"/>
      <name val="Arial Narrow"/>
      <family val="2"/>
    </font>
    <font>
      <b/>
      <sz val="14"/>
      <color rgb="FFFF3300"/>
      <name val="Arial Narrow"/>
      <family val="2"/>
    </font>
    <font>
      <sz val="10"/>
      <color rgb="FFFF3300"/>
      <name val="Arial Narrow"/>
      <family val="2"/>
    </font>
    <font>
      <b/>
      <sz val="9"/>
      <color rgb="FF008000"/>
      <name val="Arial Narrow"/>
      <family val="2"/>
    </font>
    <font>
      <b/>
      <sz val="14"/>
      <color rgb="FF008000"/>
      <name val="Arial Narrow"/>
      <family val="2"/>
    </font>
    <font>
      <b/>
      <sz val="9"/>
      <color rgb="FF339933"/>
      <name val="Arial Narrow"/>
      <family val="2"/>
    </font>
    <font>
      <sz val="9"/>
      <color rgb="FF339933"/>
      <name val="Arial Narrow"/>
      <family val="2"/>
    </font>
    <font>
      <b/>
      <sz val="14"/>
      <color rgb="FF339933"/>
      <name val="Arial Narrow"/>
      <family val="2"/>
    </font>
    <font>
      <b/>
      <sz val="9"/>
      <color rgb="FFFF0000"/>
      <name val="Arial Narrow"/>
      <family val="2"/>
    </font>
    <font>
      <b/>
      <sz val="9"/>
      <color rgb="FFFF3300"/>
      <name val="Arial Narrow"/>
      <family val="2"/>
    </font>
    <font>
      <b/>
      <sz val="14"/>
      <color theme="0"/>
      <name val="Arial Narrow"/>
      <family val="2"/>
    </font>
    <font>
      <sz val="9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99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44" fontId="7" fillId="0" borderId="1" xfId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/>
    <xf numFmtId="164" fontId="3" fillId="0" borderId="0" xfId="0" applyNumberFormat="1" applyFont="1" applyFill="1"/>
    <xf numFmtId="0" fontId="6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0" fontId="6" fillId="2" borderId="1" xfId="2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0" fontId="6" fillId="0" borderId="6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165" fontId="11" fillId="0" borderId="0" xfId="0" applyNumberFormat="1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165" fontId="14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6" fillId="0" borderId="0" xfId="0" applyNumberFormat="1" applyFont="1" applyFill="1" applyAlignment="1">
      <alignment vertical="center"/>
    </xf>
    <xf numFmtId="165" fontId="1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5" fontId="18" fillId="0" borderId="0" xfId="0" applyNumberFormat="1" applyFont="1" applyFill="1" applyAlignment="1">
      <alignment vertical="center"/>
    </xf>
    <xf numFmtId="165" fontId="3" fillId="3" borderId="0" xfId="0" applyNumberFormat="1" applyFont="1" applyFill="1"/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19" fillId="0" borderId="1" xfId="1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0" xfId="0" applyFont="1" applyFill="1"/>
    <xf numFmtId="165" fontId="20" fillId="0" borderId="0" xfId="0" applyNumberFormat="1" applyFont="1" applyFill="1" applyAlignment="1">
      <alignment vertical="center"/>
    </xf>
    <xf numFmtId="0" fontId="21" fillId="3" borderId="0" xfId="0" applyFont="1" applyFill="1"/>
    <xf numFmtId="165" fontId="18" fillId="5" borderId="0" xfId="0" applyNumberFormat="1" applyFont="1" applyFill="1" applyAlignment="1">
      <alignment vertical="center"/>
    </xf>
    <xf numFmtId="164" fontId="3" fillId="3" borderId="0" xfId="0" applyNumberFormat="1" applyFont="1" applyFill="1"/>
    <xf numFmtId="165" fontId="22" fillId="3" borderId="0" xfId="0" applyNumberFormat="1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21" fillId="3" borderId="0" xfId="0" applyNumberFormat="1" applyFont="1" applyFill="1"/>
    <xf numFmtId="0" fontId="23" fillId="0" borderId="0" xfId="0" applyFont="1" applyFill="1"/>
    <xf numFmtId="165" fontId="23" fillId="0" borderId="0" xfId="0" applyNumberFormat="1" applyFont="1" applyFill="1" applyAlignment="1">
      <alignment vertical="center"/>
    </xf>
    <xf numFmtId="0" fontId="7" fillId="6" borderId="1" xfId="0" applyFont="1" applyFill="1" applyBorder="1" applyAlignment="1">
      <alignment horizontal="left" vertical="center" wrapText="1"/>
    </xf>
    <xf numFmtId="164" fontId="7" fillId="6" borderId="1" xfId="0" applyNumberFormat="1" applyFont="1" applyFill="1" applyBorder="1" applyAlignment="1">
      <alignment horizontal="right" vertical="center" wrapText="1"/>
    </xf>
    <xf numFmtId="10" fontId="7" fillId="6" borderId="1" xfId="0" applyNumberFormat="1" applyFont="1" applyFill="1" applyBorder="1" applyAlignment="1">
      <alignment horizontal="right" vertical="center" wrapText="1"/>
    </xf>
    <xf numFmtId="44" fontId="7" fillId="6" borderId="1" xfId="1" applyFont="1" applyFill="1" applyBorder="1" applyAlignment="1">
      <alignment horizontal="right" vertical="center" wrapText="1"/>
    </xf>
    <xf numFmtId="165" fontId="7" fillId="6" borderId="1" xfId="0" applyNumberFormat="1" applyFont="1" applyFill="1" applyBorder="1" applyAlignment="1">
      <alignment horizontal="right" vertical="center" wrapText="1"/>
    </xf>
    <xf numFmtId="10" fontId="7" fillId="6" borderId="1" xfId="0" applyNumberFormat="1" applyFont="1" applyFill="1" applyBorder="1" applyAlignment="1">
      <alignment horizontal="center" vertical="center"/>
    </xf>
    <xf numFmtId="165" fontId="23" fillId="6" borderId="0" xfId="0" applyNumberFormat="1" applyFont="1" applyFill="1" applyAlignment="1">
      <alignment vertical="center"/>
    </xf>
    <xf numFmtId="165" fontId="18" fillId="6" borderId="0" xfId="0" applyNumberFormat="1" applyFont="1" applyFill="1" applyAlignment="1">
      <alignment vertical="center"/>
    </xf>
    <xf numFmtId="165" fontId="7" fillId="6" borderId="1" xfId="1" applyNumberFormat="1" applyFont="1" applyFill="1" applyBorder="1" applyAlignment="1">
      <alignment horizontal="right" vertical="center" wrapText="1"/>
    </xf>
    <xf numFmtId="0" fontId="21" fillId="3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65" fontId="15" fillId="5" borderId="0" xfId="0" applyNumberFormat="1" applyFont="1" applyFill="1" applyAlignment="1">
      <alignment vertical="center"/>
    </xf>
    <xf numFmtId="164" fontId="24" fillId="0" borderId="1" xfId="0" applyNumberFormat="1" applyFont="1" applyFill="1" applyBorder="1" applyAlignment="1">
      <alignment horizontal="right" vertical="center" wrapText="1"/>
    </xf>
    <xf numFmtId="164" fontId="25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2" fillId="7" borderId="0" xfId="0" applyNumberFormat="1" applyFont="1" applyFill="1" applyAlignment="1">
      <alignment vertical="center"/>
    </xf>
    <xf numFmtId="165" fontId="3" fillId="7" borderId="0" xfId="0" applyNumberFormat="1" applyFont="1" applyFill="1"/>
    <xf numFmtId="0" fontId="10" fillId="7" borderId="0" xfId="0" applyFont="1" applyFill="1"/>
    <xf numFmtId="164" fontId="3" fillId="7" borderId="0" xfId="0" applyNumberFormat="1" applyFont="1" applyFill="1"/>
    <xf numFmtId="165" fontId="16" fillId="5" borderId="0" xfId="0" applyNumberFormat="1" applyFont="1" applyFill="1" applyAlignment="1">
      <alignment vertical="center"/>
    </xf>
    <xf numFmtId="0" fontId="3" fillId="7" borderId="0" xfId="0" applyFont="1" applyFill="1"/>
    <xf numFmtId="0" fontId="21" fillId="7" borderId="0" xfId="0" applyFont="1" applyFill="1"/>
    <xf numFmtId="164" fontId="22" fillId="4" borderId="0" xfId="0" applyNumberFormat="1" applyFont="1" applyFill="1"/>
    <xf numFmtId="165" fontId="22" fillId="4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5" fontId="3" fillId="4" borderId="0" xfId="0" applyNumberFormat="1" applyFont="1" applyFill="1"/>
    <xf numFmtId="0" fontId="10" fillId="4" borderId="0" xfId="0" applyFont="1" applyFill="1"/>
    <xf numFmtId="0" fontId="10" fillId="2" borderId="0" xfId="0" applyFont="1" applyFill="1" applyAlignment="1">
      <alignment vertical="center"/>
    </xf>
    <xf numFmtId="165" fontId="21" fillId="2" borderId="0" xfId="0" applyNumberFormat="1" applyFont="1" applyFill="1"/>
    <xf numFmtId="0" fontId="3" fillId="2" borderId="0" xfId="0" applyFont="1" applyFill="1"/>
    <xf numFmtId="165" fontId="22" fillId="8" borderId="0" xfId="0" applyNumberFormat="1" applyFont="1" applyFill="1" applyAlignment="1">
      <alignment vertical="center"/>
    </xf>
    <xf numFmtId="165" fontId="3" fillId="8" borderId="0" xfId="0" applyNumberFormat="1" applyFont="1" applyFill="1"/>
    <xf numFmtId="0" fontId="3" fillId="8" borderId="0" xfId="0" applyFont="1" applyFill="1"/>
    <xf numFmtId="0" fontId="10" fillId="8" borderId="0" xfId="0" applyFont="1" applyFill="1"/>
    <xf numFmtId="0" fontId="21" fillId="8" borderId="0" xfId="0" applyFont="1" applyFill="1"/>
    <xf numFmtId="164" fontId="22" fillId="8" borderId="0" xfId="0" applyNumberFormat="1" applyFont="1" applyFill="1"/>
    <xf numFmtId="0" fontId="2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/>
    <xf numFmtId="44" fontId="3" fillId="0" borderId="0" xfId="1" applyFont="1" applyFill="1"/>
    <xf numFmtId="44" fontId="3" fillId="0" borderId="0" xfId="1" applyFont="1" applyFill="1" applyAlignment="1">
      <alignment vertical="center"/>
    </xf>
    <xf numFmtId="44" fontId="5" fillId="0" borderId="0" xfId="1" applyFont="1" applyFill="1"/>
    <xf numFmtId="44" fontId="3" fillId="0" borderId="0" xfId="0" applyNumberFormat="1" applyFont="1" applyFill="1"/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7" xfId="0" applyFont="1" applyFill="1" applyBorder="1"/>
    <xf numFmtId="165" fontId="7" fillId="0" borderId="7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/>
    <xf numFmtId="165" fontId="10" fillId="7" borderId="0" xfId="0" applyNumberFormat="1" applyFont="1" applyFill="1"/>
    <xf numFmtId="165" fontId="3" fillId="0" borderId="0" xfId="1" applyNumberFormat="1" applyFont="1" applyFill="1" applyAlignment="1">
      <alignment vertical="center"/>
    </xf>
    <xf numFmtId="0" fontId="10" fillId="7" borderId="0" xfId="0" applyFont="1" applyFill="1" applyAlignment="1">
      <alignment vertical="center"/>
    </xf>
    <xf numFmtId="165" fontId="15" fillId="6" borderId="0" xfId="0" applyNumberFormat="1" applyFont="1" applyFill="1" applyAlignment="1">
      <alignment vertical="center"/>
    </xf>
    <xf numFmtId="165" fontId="21" fillId="7" borderId="0" xfId="0" applyNumberFormat="1" applyFont="1" applyFill="1"/>
    <xf numFmtId="164" fontId="22" fillId="7" borderId="0" xfId="0" applyNumberFormat="1" applyFont="1" applyFill="1"/>
    <xf numFmtId="0" fontId="2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>
      <alignment vertical="center"/>
    </xf>
    <xf numFmtId="165" fontId="14" fillId="5" borderId="0" xfId="0" applyNumberFormat="1" applyFont="1" applyFill="1" applyAlignment="1">
      <alignment vertical="center"/>
    </xf>
    <xf numFmtId="165" fontId="14" fillId="6" borderId="0" xfId="0" applyNumberFormat="1" applyFont="1" applyFill="1" applyAlignment="1">
      <alignment vertical="center"/>
    </xf>
    <xf numFmtId="0" fontId="26" fillId="4" borderId="0" xfId="0" applyFont="1" applyFill="1"/>
    <xf numFmtId="0" fontId="26" fillId="4" borderId="0" xfId="0" applyFont="1" applyFill="1" applyAlignment="1">
      <alignment vertical="center"/>
    </xf>
    <xf numFmtId="165" fontId="26" fillId="4" borderId="0" xfId="0" applyNumberFormat="1" applyFont="1" applyFill="1" applyAlignment="1">
      <alignment vertical="center"/>
    </xf>
    <xf numFmtId="165" fontId="26" fillId="4" borderId="0" xfId="0" applyNumberFormat="1" applyFont="1" applyFill="1"/>
    <xf numFmtId="164" fontId="26" fillId="4" borderId="0" xfId="0" applyNumberFormat="1" applyFont="1" applyFill="1"/>
    <xf numFmtId="0" fontId="12" fillId="4" borderId="0" xfId="0" applyFont="1" applyFill="1"/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6" fillId="7" borderId="0" xfId="0" applyFont="1" applyFill="1"/>
    <xf numFmtId="165" fontId="26" fillId="7" borderId="0" xfId="0" applyNumberFormat="1" applyFont="1" applyFill="1"/>
    <xf numFmtId="164" fontId="26" fillId="7" borderId="0" xfId="0" applyNumberFormat="1" applyFont="1" applyFill="1"/>
    <xf numFmtId="0" fontId="26" fillId="5" borderId="0" xfId="0" applyFont="1" applyFill="1"/>
    <xf numFmtId="0" fontId="26" fillId="5" borderId="0" xfId="0" applyFont="1" applyFill="1" applyAlignment="1">
      <alignment vertical="center"/>
    </xf>
    <xf numFmtId="165" fontId="26" fillId="7" borderId="0" xfId="0" applyNumberFormat="1" applyFont="1" applyFill="1" applyAlignment="1">
      <alignment vertical="center"/>
    </xf>
    <xf numFmtId="165" fontId="22" fillId="7" borderId="0" xfId="0" applyNumberFormat="1" applyFont="1" applyFill="1"/>
    <xf numFmtId="0" fontId="22" fillId="7" borderId="0" xfId="0" applyFont="1" applyFill="1"/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44" fontId="7" fillId="0" borderId="1" xfId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165" fontId="25" fillId="0" borderId="1" xfId="0" applyNumberFormat="1" applyFont="1" applyFill="1" applyBorder="1" applyAlignment="1">
      <alignment horizontal="right" vertical="center" wrapText="1"/>
    </xf>
    <xf numFmtId="0" fontId="26" fillId="7" borderId="0" xfId="0" applyFont="1" applyFill="1" applyAlignment="1">
      <alignment vertical="center"/>
    </xf>
    <xf numFmtId="0" fontId="12" fillId="5" borderId="0" xfId="0" applyFont="1" applyFill="1"/>
    <xf numFmtId="0" fontId="12" fillId="7" borderId="0" xfId="0" applyFont="1" applyFill="1"/>
    <xf numFmtId="165" fontId="26" fillId="9" borderId="0" xfId="0" applyNumberFormat="1" applyFont="1" applyFill="1"/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22" fillId="10" borderId="0" xfId="0" applyFont="1" applyFill="1"/>
    <xf numFmtId="165" fontId="22" fillId="10" borderId="0" xfId="0" applyNumberFormat="1" applyFont="1" applyFill="1"/>
    <xf numFmtId="165" fontId="10" fillId="10" borderId="0" xfId="0" applyNumberFormat="1" applyFont="1" applyFill="1"/>
    <xf numFmtId="164" fontId="22" fillId="10" borderId="0" xfId="0" applyNumberFormat="1" applyFont="1" applyFill="1"/>
    <xf numFmtId="165" fontId="22" fillId="1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7" fillId="0" borderId="0" xfId="0" applyNumberFormat="1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10" borderId="0" xfId="0" applyFont="1" applyFill="1"/>
    <xf numFmtId="165" fontId="27" fillId="5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horizontal="left" vertical="center" wrapText="1"/>
    </xf>
    <xf numFmtId="164" fontId="6" fillId="10" borderId="1" xfId="0" applyNumberFormat="1" applyFont="1" applyFill="1" applyBorder="1" applyAlignment="1">
      <alignment horizontal="right" vertical="center" wrapText="1"/>
    </xf>
    <xf numFmtId="165" fontId="28" fillId="0" borderId="0" xfId="0" applyNumberFormat="1" applyFont="1" applyFill="1" applyAlignment="1">
      <alignment vertical="center"/>
    </xf>
    <xf numFmtId="165" fontId="24" fillId="0" borderId="1" xfId="0" applyNumberFormat="1" applyFont="1" applyFill="1" applyBorder="1" applyAlignment="1">
      <alignment horizontal="right" vertical="center" wrapText="1"/>
    </xf>
    <xf numFmtId="10" fontId="6" fillId="1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5" fillId="0" borderId="1" xfId="1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left" vertical="center" wrapText="1"/>
    </xf>
    <xf numFmtId="10" fontId="25" fillId="0" borderId="1" xfId="0" applyNumberFormat="1" applyFont="1" applyFill="1" applyBorder="1" applyAlignment="1">
      <alignment horizontal="right" vertical="center" wrapText="1"/>
    </xf>
    <xf numFmtId="44" fontId="25" fillId="0" borderId="1" xfId="1" applyFont="1" applyFill="1" applyBorder="1" applyAlignment="1">
      <alignment horizontal="right" vertical="center" wrapText="1"/>
    </xf>
    <xf numFmtId="10" fontId="2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5" fontId="10" fillId="5" borderId="0" xfId="0" applyNumberFormat="1" applyFont="1" applyFill="1"/>
    <xf numFmtId="165" fontId="26" fillId="5" borderId="0" xfId="0" applyNumberFormat="1" applyFont="1" applyFill="1" applyAlignment="1">
      <alignment vertical="center"/>
    </xf>
    <xf numFmtId="165" fontId="26" fillId="5" borderId="0" xfId="0" applyNumberFormat="1" applyFont="1" applyFill="1"/>
    <xf numFmtId="164" fontId="26" fillId="5" borderId="0" xfId="0" applyNumberFormat="1" applyFont="1" applyFill="1"/>
    <xf numFmtId="165" fontId="29" fillId="0" borderId="1" xfId="0" applyNumberFormat="1" applyFont="1" applyFill="1" applyBorder="1" applyAlignment="1">
      <alignment horizontal="right" vertical="center" wrapText="1"/>
    </xf>
    <xf numFmtId="165" fontId="29" fillId="0" borderId="1" xfId="1" applyNumberFormat="1" applyFont="1" applyFill="1" applyBorder="1" applyAlignment="1">
      <alignment horizontal="right" vertical="center" wrapText="1"/>
    </xf>
    <xf numFmtId="165" fontId="30" fillId="0" borderId="0" xfId="0" applyNumberFormat="1" applyFont="1" applyFill="1" applyAlignment="1">
      <alignment vertical="center"/>
    </xf>
    <xf numFmtId="165" fontId="30" fillId="5" borderId="0" xfId="0" applyNumberFormat="1" applyFont="1" applyFill="1" applyAlignment="1">
      <alignment vertical="center"/>
    </xf>
    <xf numFmtId="165" fontId="22" fillId="5" borderId="0" xfId="0" applyNumberFormat="1" applyFont="1" applyFill="1" applyAlignment="1">
      <alignment vertical="center"/>
    </xf>
    <xf numFmtId="165" fontId="22" fillId="5" borderId="0" xfId="0" applyNumberFormat="1" applyFont="1" applyFill="1"/>
    <xf numFmtId="0" fontId="10" fillId="5" borderId="0" xfId="0" applyFont="1" applyFill="1"/>
    <xf numFmtId="0" fontId="22" fillId="5" borderId="0" xfId="0" applyFont="1" applyFill="1"/>
    <xf numFmtId="0" fontId="31" fillId="5" borderId="0" xfId="0" applyFont="1" applyFill="1"/>
    <xf numFmtId="164" fontId="31" fillId="5" borderId="0" xfId="0" applyNumberFormat="1" applyFont="1" applyFill="1"/>
    <xf numFmtId="164" fontId="22" fillId="5" borderId="0" xfId="0" applyNumberFormat="1" applyFont="1" applyFill="1"/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5" fontId="32" fillId="0" borderId="1" xfId="1" applyNumberFormat="1" applyFont="1" applyFill="1" applyBorder="1" applyAlignment="1">
      <alignment horizontal="right" vertical="center" wrapText="1"/>
    </xf>
    <xf numFmtId="165" fontId="32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33" fillId="0" borderId="0" xfId="0" applyNumberFormat="1" applyFont="1" applyFill="1" applyAlignment="1">
      <alignment vertical="center"/>
    </xf>
    <xf numFmtId="165" fontId="24" fillId="0" borderId="1" xfId="1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34" fillId="0" borderId="1" xfId="0" applyNumberFormat="1" applyFont="1" applyFill="1" applyBorder="1" applyAlignment="1">
      <alignment horizontal="right" vertical="center" wrapText="1"/>
    </xf>
    <xf numFmtId="165" fontId="34" fillId="0" borderId="1" xfId="1" applyNumberFormat="1" applyFont="1" applyFill="1" applyBorder="1" applyAlignment="1">
      <alignment horizontal="right" vertical="center" wrapText="1"/>
    </xf>
    <xf numFmtId="10" fontId="35" fillId="0" borderId="1" xfId="0" applyNumberFormat="1" applyFont="1" applyFill="1" applyBorder="1" applyAlignment="1">
      <alignment horizontal="center" vertical="center"/>
    </xf>
    <xf numFmtId="165" fontId="36" fillId="0" borderId="0" xfId="0" applyNumberFormat="1" applyFont="1" applyFill="1" applyAlignment="1">
      <alignment vertical="center"/>
    </xf>
    <xf numFmtId="10" fontId="34" fillId="0" borderId="1" xfId="0" applyNumberFormat="1" applyFont="1" applyFill="1" applyBorder="1" applyAlignment="1">
      <alignment horizontal="center" vertical="center"/>
    </xf>
    <xf numFmtId="165" fontId="36" fillId="5" borderId="0" xfId="0" applyNumberFormat="1" applyFont="1" applyFill="1" applyAlignment="1">
      <alignment vertical="center"/>
    </xf>
    <xf numFmtId="10" fontId="24" fillId="0" borderId="1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right" vertical="center" wrapText="1"/>
    </xf>
    <xf numFmtId="165" fontId="38" fillId="0" borderId="1" xfId="0" applyNumberFormat="1" applyFont="1" applyFill="1" applyBorder="1" applyAlignment="1">
      <alignment horizontal="right" vertical="center" wrapText="1"/>
    </xf>
    <xf numFmtId="165" fontId="38" fillId="0" borderId="1" xfId="1" applyNumberFormat="1" applyFont="1" applyFill="1" applyBorder="1" applyAlignment="1">
      <alignment horizontal="right" vertical="center" wrapText="1"/>
    </xf>
    <xf numFmtId="165" fontId="39" fillId="7" borderId="0" xfId="0" applyNumberFormat="1" applyFont="1" applyFill="1" applyAlignment="1">
      <alignment vertical="center"/>
    </xf>
    <xf numFmtId="165" fontId="37" fillId="0" borderId="1" xfId="1" applyNumberFormat="1" applyFont="1" applyFill="1" applyBorder="1" applyAlignment="1">
      <alignment horizontal="right" vertical="center" wrapText="1"/>
    </xf>
    <xf numFmtId="164" fontId="10" fillId="5" borderId="0" xfId="0" applyNumberFormat="1" applyFont="1" applyFill="1"/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5" fontId="40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left"/>
    </xf>
    <xf numFmtId="44" fontId="6" fillId="0" borderId="4" xfId="1" applyFont="1" applyFill="1" applyBorder="1" applyAlignment="1">
      <alignment horizontal="right"/>
    </xf>
    <xf numFmtId="44" fontId="6" fillId="0" borderId="5" xfId="1" applyFont="1" applyFill="1" applyBorder="1" applyAlignment="1">
      <alignment horizontal="right"/>
    </xf>
    <xf numFmtId="44" fontId="6" fillId="0" borderId="6" xfId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3" fillId="0" borderId="4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FF3300"/>
      <color rgb="FF339933"/>
      <color rgb="FF33CC33"/>
      <color rgb="FF008000"/>
      <color rgb="FF009900"/>
      <color rgb="FF00CC00"/>
      <color rgb="FF00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8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9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0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1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8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9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8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9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0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1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3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4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5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6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7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8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19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276225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28575</xdr:rowOff>
    </xdr:from>
    <xdr:to>
      <xdr:col>11</xdr:col>
      <xdr:colOff>514350</xdr:colOff>
      <xdr:row>1</xdr:row>
      <xdr:rowOff>104775</xdr:rowOff>
    </xdr:to>
    <xdr:sp macro="" textlink="">
      <xdr:nvSpPr>
        <xdr:cNvPr id="2" name="2 Rectángulo redondeado"/>
        <xdr:cNvSpPr/>
      </xdr:nvSpPr>
      <xdr:spPr>
        <a:xfrm>
          <a:off x="8820150" y="28575"/>
          <a:ext cx="866775" cy="304800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400" b="1">
              <a:ln w="3175">
                <a:noFill/>
              </a:ln>
              <a:latin typeface="Arial Narrow" pitchFamily="34" charset="0"/>
            </a:rPr>
            <a:t>MR-02</a:t>
          </a: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opLeftCell="A100" zoomScale="120" zoomScaleNormal="120" workbookViewId="0">
      <selection activeCell="A9" sqref="A9"/>
    </sheetView>
  </sheetViews>
  <sheetFormatPr baseColWidth="10" defaultColWidth="16.5703125" defaultRowHeight="12.75" x14ac:dyDescent="0.2"/>
  <cols>
    <col min="1" max="1" width="16.5703125" style="1" customWidth="1"/>
    <col min="2" max="5" width="12.7109375" style="1" customWidth="1"/>
    <col min="6" max="6" width="6.5703125" style="1" bestFit="1" customWidth="1"/>
    <col min="7" max="11" width="12.7109375" style="1" customWidth="1"/>
    <col min="12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5" ht="15.75" x14ac:dyDescent="0.25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5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5.75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5" ht="15.7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15.75" x14ac:dyDescent="0.25">
      <c r="A5" s="3" t="s">
        <v>2</v>
      </c>
      <c r="B5" s="5"/>
      <c r="C5" s="5"/>
      <c r="D5" s="5"/>
      <c r="E5" s="6"/>
      <c r="F5" s="6"/>
      <c r="G5" s="6"/>
    </row>
    <row r="6" spans="1:15" ht="13.5" x14ac:dyDescent="0.25">
      <c r="C6" s="335" t="s">
        <v>3</v>
      </c>
      <c r="D6" s="335"/>
      <c r="E6" s="336"/>
      <c r="F6" s="336"/>
      <c r="G6" s="336"/>
      <c r="H6" s="335" t="s">
        <v>4</v>
      </c>
      <c r="I6" s="335"/>
      <c r="J6" s="335"/>
      <c r="K6" s="335"/>
    </row>
    <row r="7" spans="1:15" ht="13.5" x14ac:dyDescent="0.25">
      <c r="A7" s="337" t="s">
        <v>5</v>
      </c>
      <c r="B7" s="339" t="s">
        <v>6</v>
      </c>
      <c r="C7" s="339" t="s">
        <v>7</v>
      </c>
      <c r="D7" s="339" t="s">
        <v>8</v>
      </c>
      <c r="E7" s="340" t="s">
        <v>9</v>
      </c>
      <c r="F7" s="340" t="s">
        <v>10</v>
      </c>
      <c r="G7" s="337" t="s">
        <v>11</v>
      </c>
      <c r="H7" s="340" t="s">
        <v>12</v>
      </c>
      <c r="I7" s="340" t="s">
        <v>13</v>
      </c>
      <c r="J7" s="340" t="s">
        <v>14</v>
      </c>
      <c r="K7" s="340" t="s">
        <v>15</v>
      </c>
      <c r="L7" s="7" t="s">
        <v>16</v>
      </c>
    </row>
    <row r="8" spans="1:15" ht="13.5" x14ac:dyDescent="0.2">
      <c r="A8" s="338"/>
      <c r="B8" s="339"/>
      <c r="C8" s="339"/>
      <c r="D8" s="339"/>
      <c r="E8" s="340"/>
      <c r="F8" s="340"/>
      <c r="G8" s="338"/>
      <c r="H8" s="340"/>
      <c r="I8" s="340"/>
      <c r="J8" s="340"/>
      <c r="K8" s="340"/>
      <c r="L8" s="8" t="s">
        <v>17</v>
      </c>
    </row>
    <row r="9" spans="1:15" s="17" customFormat="1" ht="13.5" x14ac:dyDescent="0.25">
      <c r="A9" s="9" t="s">
        <v>18</v>
      </c>
      <c r="B9" s="10">
        <v>9497181.3399999999</v>
      </c>
      <c r="C9" s="10">
        <v>3009717.49</v>
      </c>
      <c r="D9" s="11">
        <v>0</v>
      </c>
      <c r="E9" s="10">
        <v>1888592.91</v>
      </c>
      <c r="F9" s="12">
        <f>+E9/C9</f>
        <v>0.62749840019037795</v>
      </c>
      <c r="G9" s="10">
        <f>+C9+D9-E9</f>
        <v>1121124.5800000003</v>
      </c>
      <c r="H9" s="13">
        <f>1422173.96+313096.05</f>
        <v>1735270.01</v>
      </c>
      <c r="I9" s="14">
        <v>1122723.95</v>
      </c>
      <c r="J9" s="14">
        <f>86641+1428929.53</f>
        <v>1515570.53</v>
      </c>
      <c r="K9" s="14">
        <f>H9+I9-J9</f>
        <v>1342423.43</v>
      </c>
      <c r="L9" s="15">
        <f>+F9</f>
        <v>0.62749840019037795</v>
      </c>
      <c r="M9" s="16">
        <f>+K9-G9</f>
        <v>221298.84999999963</v>
      </c>
      <c r="N9" s="39">
        <f>+H9-G9</f>
        <v>614145.4299999997</v>
      </c>
      <c r="O9" s="16">
        <f>+J9-N9</f>
        <v>901425.10000000033</v>
      </c>
    </row>
    <row r="10" spans="1:15" ht="13.5" x14ac:dyDescent="0.2">
      <c r="A10" s="9" t="s">
        <v>19</v>
      </c>
      <c r="B10" s="10">
        <v>73877</v>
      </c>
      <c r="C10" s="10">
        <v>73877</v>
      </c>
      <c r="D10" s="11">
        <v>0</v>
      </c>
      <c r="E10" s="10">
        <v>73877</v>
      </c>
      <c r="F10" s="12">
        <f t="shared" ref="F10:F23" si="0">+E10/C10</f>
        <v>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f t="shared" ref="L10:L26" si="1">+F10</f>
        <v>1</v>
      </c>
      <c r="M10" s="16">
        <f t="shared" ref="M10:M73" si="2">+K10-G10</f>
        <v>0</v>
      </c>
    </row>
    <row r="11" spans="1:15" ht="13.5" x14ac:dyDescent="0.2">
      <c r="A11" s="9" t="s">
        <v>20</v>
      </c>
      <c r="B11" s="10">
        <v>28462809.77</v>
      </c>
      <c r="C11" s="10">
        <v>28462809.77</v>
      </c>
      <c r="D11" s="11">
        <v>0</v>
      </c>
      <c r="E11" s="10">
        <v>27357486.23</v>
      </c>
      <c r="F11" s="12">
        <f t="shared" si="0"/>
        <v>0.96116604267351646</v>
      </c>
      <c r="G11" s="10">
        <f>+C11+D11-E11</f>
        <v>1105323.5399999991</v>
      </c>
      <c r="H11" s="13">
        <f>170500+1827605.1</f>
        <v>1998105.1</v>
      </c>
      <c r="I11" s="14">
        <v>0</v>
      </c>
      <c r="J11" s="14">
        <f>854134.16+162187.53+719.87</f>
        <v>1017041.56</v>
      </c>
      <c r="K11" s="14">
        <f t="shared" ref="K11:K74" si="3">H11+I11-J11</f>
        <v>981063.54</v>
      </c>
      <c r="L11" s="15">
        <f t="shared" si="1"/>
        <v>0.96116604267351646</v>
      </c>
      <c r="M11" s="16">
        <f t="shared" si="2"/>
        <v>-124259.99999999907</v>
      </c>
      <c r="N11" s="18"/>
    </row>
    <row r="12" spans="1:15" ht="13.5" x14ac:dyDescent="0.2">
      <c r="A12" s="9" t="s">
        <v>21</v>
      </c>
      <c r="B12" s="10">
        <v>266576.99</v>
      </c>
      <c r="C12" s="10">
        <v>266576.99</v>
      </c>
      <c r="D12" s="11">
        <v>0</v>
      </c>
      <c r="E12" s="10">
        <v>80893</v>
      </c>
      <c r="F12" s="12">
        <f t="shared" si="0"/>
        <v>0.30345079670979858</v>
      </c>
      <c r="G12" s="10">
        <f>+C12+D12-E12</f>
        <v>185683.99</v>
      </c>
      <c r="H12" s="13">
        <v>185683.99</v>
      </c>
      <c r="I12" s="14">
        <v>0</v>
      </c>
      <c r="J12" s="14">
        <v>0</v>
      </c>
      <c r="K12" s="14">
        <f t="shared" si="3"/>
        <v>185683.99</v>
      </c>
      <c r="L12" s="15">
        <f t="shared" si="1"/>
        <v>0.30345079670979858</v>
      </c>
      <c r="M12" s="16">
        <f t="shared" si="2"/>
        <v>0</v>
      </c>
    </row>
    <row r="13" spans="1:15" ht="13.5" x14ac:dyDescent="0.2">
      <c r="A13" s="9" t="s">
        <v>22</v>
      </c>
      <c r="B13" s="10">
        <v>757786.85</v>
      </c>
      <c r="C13" s="10">
        <v>757786.85</v>
      </c>
      <c r="D13" s="10">
        <v>149.51</v>
      </c>
      <c r="E13" s="10">
        <v>201977</v>
      </c>
      <c r="F13" s="12">
        <f t="shared" si="0"/>
        <v>0.26653537205086103</v>
      </c>
      <c r="G13" s="10">
        <f t="shared" ref="G13:G21" si="4">+C13+D13-E13</f>
        <v>555959.36</v>
      </c>
      <c r="H13" s="13">
        <v>555959.36</v>
      </c>
      <c r="I13" s="14">
        <v>0</v>
      </c>
      <c r="J13" s="14">
        <v>0</v>
      </c>
      <c r="K13" s="14">
        <f t="shared" si="3"/>
        <v>555959.36</v>
      </c>
      <c r="L13" s="15">
        <f t="shared" si="1"/>
        <v>0.26653537205086103</v>
      </c>
      <c r="M13" s="16">
        <f>+K13-G13</f>
        <v>0</v>
      </c>
    </row>
    <row r="14" spans="1:15" ht="13.5" x14ac:dyDescent="0.2">
      <c r="A14" s="9" t="s">
        <v>23</v>
      </c>
      <c r="B14" s="10">
        <v>919872.2</v>
      </c>
      <c r="C14" s="10">
        <v>919872.2</v>
      </c>
      <c r="D14" s="10">
        <v>408.58</v>
      </c>
      <c r="E14" s="10">
        <v>788192.61</v>
      </c>
      <c r="F14" s="12">
        <f t="shared" si="0"/>
        <v>0.85685012548482287</v>
      </c>
      <c r="G14" s="10">
        <f t="shared" si="4"/>
        <v>132088.16999999993</v>
      </c>
      <c r="H14" s="13">
        <v>132088.17000000001</v>
      </c>
      <c r="I14" s="14">
        <v>0</v>
      </c>
      <c r="J14" s="14">
        <v>0</v>
      </c>
      <c r="K14" s="14">
        <f t="shared" si="3"/>
        <v>132088.17000000001</v>
      </c>
      <c r="L14" s="15">
        <f t="shared" si="1"/>
        <v>0.85685012548482287</v>
      </c>
      <c r="M14" s="16">
        <f t="shared" si="2"/>
        <v>0</v>
      </c>
    </row>
    <row r="15" spans="1:15" ht="13.5" x14ac:dyDescent="0.2">
      <c r="A15" s="9" t="s">
        <v>24</v>
      </c>
      <c r="B15" s="10">
        <v>13636634.35</v>
      </c>
      <c r="C15" s="10">
        <v>13636634.35</v>
      </c>
      <c r="D15" s="11">
        <v>0</v>
      </c>
      <c r="E15" s="10">
        <f>13212786.17</f>
        <v>13212786.17</v>
      </c>
      <c r="F15" s="12">
        <f t="shared" si="0"/>
        <v>0.96891841717527616</v>
      </c>
      <c r="G15" s="10">
        <f>+C15+D15-E15</f>
        <v>423848.1799999997</v>
      </c>
      <c r="H15" s="13">
        <v>720934.97</v>
      </c>
      <c r="I15" s="14">
        <v>1120</v>
      </c>
      <c r="J15" s="14">
        <f>287062+8756.79+2388</f>
        <v>298206.78999999998</v>
      </c>
      <c r="K15" s="14">
        <f t="shared" si="3"/>
        <v>423848.18</v>
      </c>
      <c r="L15" s="15">
        <f t="shared" si="1"/>
        <v>0.96891841717527616</v>
      </c>
      <c r="M15" s="16">
        <f t="shared" si="2"/>
        <v>0</v>
      </c>
    </row>
    <row r="16" spans="1:15" ht="13.5" x14ac:dyDescent="0.2">
      <c r="A16" s="9" t="s">
        <v>25</v>
      </c>
      <c r="B16" s="10">
        <v>868753.03</v>
      </c>
      <c r="C16" s="10">
        <v>868753.03</v>
      </c>
      <c r="D16" s="10">
        <v>131.31</v>
      </c>
      <c r="E16" s="10">
        <v>542712.97</v>
      </c>
      <c r="F16" s="12">
        <f t="shared" si="0"/>
        <v>0.624703398156781</v>
      </c>
      <c r="G16" s="10">
        <f t="shared" si="4"/>
        <v>326171.37000000011</v>
      </c>
      <c r="H16" s="13">
        <v>326171.37</v>
      </c>
      <c r="I16" s="14">
        <v>0</v>
      </c>
      <c r="J16" s="14">
        <v>0</v>
      </c>
      <c r="K16" s="14">
        <f t="shared" si="3"/>
        <v>326171.37</v>
      </c>
      <c r="L16" s="15">
        <f t="shared" si="1"/>
        <v>0.624703398156781</v>
      </c>
      <c r="M16" s="16">
        <f t="shared" si="2"/>
        <v>0</v>
      </c>
    </row>
    <row r="17" spans="1:15" ht="13.5" x14ac:dyDescent="0.2">
      <c r="A17" s="9" t="s">
        <v>26</v>
      </c>
      <c r="B17" s="10">
        <v>0</v>
      </c>
      <c r="C17" s="10">
        <v>0</v>
      </c>
      <c r="D17" s="11">
        <v>0</v>
      </c>
      <c r="E17" s="10">
        <v>0</v>
      </c>
      <c r="F17" s="12">
        <v>0</v>
      </c>
      <c r="G17" s="14">
        <f t="shared" si="4"/>
        <v>0</v>
      </c>
      <c r="H17" s="11">
        <v>0</v>
      </c>
      <c r="I17" s="14">
        <v>0</v>
      </c>
      <c r="J17" s="14">
        <v>0</v>
      </c>
      <c r="K17" s="14">
        <f t="shared" si="3"/>
        <v>0</v>
      </c>
      <c r="L17" s="15">
        <f t="shared" si="1"/>
        <v>0</v>
      </c>
      <c r="M17" s="16">
        <f t="shared" si="2"/>
        <v>0</v>
      </c>
    </row>
    <row r="18" spans="1:15" ht="13.5" x14ac:dyDescent="0.2">
      <c r="A18" s="9" t="s">
        <v>27</v>
      </c>
      <c r="B18" s="10">
        <v>0</v>
      </c>
      <c r="C18" s="10">
        <v>0</v>
      </c>
      <c r="D18" s="11">
        <v>0</v>
      </c>
      <c r="E18" s="10">
        <v>0</v>
      </c>
      <c r="F18" s="12">
        <v>0</v>
      </c>
      <c r="G18" s="14">
        <f t="shared" si="4"/>
        <v>0</v>
      </c>
      <c r="H18" s="11">
        <v>0</v>
      </c>
      <c r="I18" s="14">
        <v>0</v>
      </c>
      <c r="J18" s="14">
        <v>0</v>
      </c>
      <c r="K18" s="14">
        <f t="shared" si="3"/>
        <v>0</v>
      </c>
      <c r="L18" s="15">
        <f t="shared" si="1"/>
        <v>0</v>
      </c>
      <c r="M18" s="16">
        <f t="shared" si="2"/>
        <v>0</v>
      </c>
    </row>
    <row r="19" spans="1:15" ht="13.5" x14ac:dyDescent="0.2">
      <c r="A19" s="9" t="s">
        <v>27</v>
      </c>
      <c r="B19" s="10">
        <v>573447.68000000005</v>
      </c>
      <c r="C19" s="10">
        <v>573447.68999999994</v>
      </c>
      <c r="D19" s="11">
        <v>0</v>
      </c>
      <c r="E19" s="10">
        <v>569680.31999999995</v>
      </c>
      <c r="F19" s="12">
        <f t="shared" si="0"/>
        <v>0.99343031619850108</v>
      </c>
      <c r="G19" s="10">
        <f t="shared" si="4"/>
        <v>3767.3699999999953</v>
      </c>
      <c r="H19" s="13">
        <v>3767.37</v>
      </c>
      <c r="I19" s="14">
        <v>0</v>
      </c>
      <c r="J19" s="14">
        <v>0</v>
      </c>
      <c r="K19" s="14">
        <f t="shared" si="3"/>
        <v>3767.37</v>
      </c>
      <c r="L19" s="15">
        <f t="shared" si="1"/>
        <v>0.99343031619850108</v>
      </c>
      <c r="M19" s="16">
        <f t="shared" si="2"/>
        <v>4.5474735088646412E-12</v>
      </c>
    </row>
    <row r="20" spans="1:15" ht="13.5" x14ac:dyDescent="0.2">
      <c r="A20" s="9" t="s">
        <v>28</v>
      </c>
      <c r="B20" s="10">
        <v>36484.65</v>
      </c>
      <c r="C20" s="10">
        <v>36484.65</v>
      </c>
      <c r="D20" s="11">
        <v>0</v>
      </c>
      <c r="E20" s="10">
        <v>0</v>
      </c>
      <c r="F20" s="12">
        <f t="shared" si="0"/>
        <v>0</v>
      </c>
      <c r="G20" s="10">
        <f t="shared" si="4"/>
        <v>36484.65</v>
      </c>
      <c r="H20" s="13">
        <v>36484.65</v>
      </c>
      <c r="I20" s="14">
        <v>0</v>
      </c>
      <c r="J20" s="14">
        <v>0</v>
      </c>
      <c r="K20" s="14">
        <f t="shared" si="3"/>
        <v>36484.65</v>
      </c>
      <c r="L20" s="15">
        <f t="shared" si="1"/>
        <v>0</v>
      </c>
      <c r="M20" s="16">
        <f t="shared" si="2"/>
        <v>0</v>
      </c>
    </row>
    <row r="21" spans="1:15" ht="13.5" x14ac:dyDescent="0.2">
      <c r="A21" s="9" t="s">
        <v>29</v>
      </c>
      <c r="B21" s="10">
        <v>25802087</v>
      </c>
      <c r="C21" s="10">
        <v>25802087</v>
      </c>
      <c r="D21" s="10">
        <f>1948.34+11855.21+17411.8+24901.03+30826.95+1275.36+39471.97+28017.47</f>
        <v>155708.13</v>
      </c>
      <c r="E21" s="10">
        <v>21425995.98</v>
      </c>
      <c r="F21" s="12">
        <f t="shared" si="0"/>
        <v>0.83039778836494893</v>
      </c>
      <c r="G21" s="10">
        <f t="shared" si="4"/>
        <v>4531799.1499999985</v>
      </c>
      <c r="H21" s="13">
        <f>4256662.33+280000</f>
        <v>4536662.33</v>
      </c>
      <c r="I21" s="14">
        <f>152805.87-30099.8</f>
        <v>122706.06999999999</v>
      </c>
      <c r="J21" s="14">
        <f>20016.25+101234.5+88489.25+27754.43</f>
        <v>237494.43</v>
      </c>
      <c r="K21" s="14">
        <f>H21+I21-J21</f>
        <v>4421873.9700000007</v>
      </c>
      <c r="L21" s="15">
        <f t="shared" si="1"/>
        <v>0.83039778836494893</v>
      </c>
      <c r="M21" s="16">
        <f t="shared" si="2"/>
        <v>-109925.17999999784</v>
      </c>
      <c r="N21" s="18"/>
      <c r="O21" s="18"/>
    </row>
    <row r="22" spans="1:15" ht="13.5" x14ac:dyDescent="0.2">
      <c r="A22" s="9" t="s">
        <v>30</v>
      </c>
      <c r="B22" s="10">
        <v>19272341</v>
      </c>
      <c r="C22" s="10">
        <v>19272341</v>
      </c>
      <c r="D22" s="10">
        <v>1040.23</v>
      </c>
      <c r="E22" s="10">
        <v>17963546.48</v>
      </c>
      <c r="F22" s="12">
        <f t="shared" si="0"/>
        <v>0.93208948928415081</v>
      </c>
      <c r="G22" s="10">
        <f>+C22+D22-E22</f>
        <v>1309834.75</v>
      </c>
      <c r="H22" s="13">
        <v>1586271.03</v>
      </c>
      <c r="I22" s="14">
        <v>0</v>
      </c>
      <c r="J22" s="14">
        <f>117121+2320</f>
        <v>119441</v>
      </c>
      <c r="K22" s="14">
        <f>H22+I22-J22</f>
        <v>1466830.03</v>
      </c>
      <c r="L22" s="15">
        <f t="shared" si="1"/>
        <v>0.93208948928415081</v>
      </c>
      <c r="M22" s="16">
        <f>+K22-G22</f>
        <v>156995.28000000003</v>
      </c>
      <c r="N22" s="19"/>
      <c r="O22" s="18"/>
    </row>
    <row r="23" spans="1:15" ht="13.5" x14ac:dyDescent="0.2">
      <c r="A23" s="9" t="s">
        <v>31</v>
      </c>
      <c r="B23" s="10">
        <v>700000</v>
      </c>
      <c r="C23" s="10">
        <v>700000</v>
      </c>
      <c r="D23" s="11">
        <v>0</v>
      </c>
      <c r="E23" s="10">
        <v>700000</v>
      </c>
      <c r="F23" s="12">
        <f t="shared" si="0"/>
        <v>1</v>
      </c>
      <c r="G23" s="11">
        <v>0</v>
      </c>
      <c r="H23" s="13">
        <v>9956.9</v>
      </c>
      <c r="I23" s="14">
        <v>0</v>
      </c>
      <c r="J23" s="14">
        <f>6034.48+3017.24+905.18</f>
        <v>9956.9</v>
      </c>
      <c r="K23" s="14">
        <f t="shared" si="3"/>
        <v>0</v>
      </c>
      <c r="L23" s="15">
        <f t="shared" si="1"/>
        <v>1</v>
      </c>
      <c r="M23" s="16">
        <f t="shared" si="2"/>
        <v>0</v>
      </c>
    </row>
    <row r="24" spans="1:15" ht="13.5" x14ac:dyDescent="0.2">
      <c r="A24" s="9">
        <v>3001</v>
      </c>
      <c r="B24" s="11">
        <v>0</v>
      </c>
      <c r="C24" s="11">
        <v>0</v>
      </c>
      <c r="D24" s="11">
        <v>0</v>
      </c>
      <c r="E24" s="10">
        <v>0</v>
      </c>
      <c r="F24" s="12">
        <v>0</v>
      </c>
      <c r="G24" s="11">
        <v>0</v>
      </c>
      <c r="H24" s="11">
        <v>0</v>
      </c>
      <c r="I24" s="14">
        <v>0</v>
      </c>
      <c r="J24" s="14">
        <v>0</v>
      </c>
      <c r="K24" s="14">
        <f t="shared" si="3"/>
        <v>0</v>
      </c>
      <c r="L24" s="15">
        <f t="shared" si="1"/>
        <v>0</v>
      </c>
      <c r="M24" s="16">
        <f t="shared" si="2"/>
        <v>0</v>
      </c>
    </row>
    <row r="25" spans="1:15" ht="13.5" x14ac:dyDescent="0.2">
      <c r="A25" s="9">
        <v>3002</v>
      </c>
      <c r="B25" s="11">
        <v>0</v>
      </c>
      <c r="C25" s="11">
        <v>0</v>
      </c>
      <c r="D25" s="11">
        <v>0</v>
      </c>
      <c r="E25" s="10">
        <v>0</v>
      </c>
      <c r="F25" s="12">
        <v>0</v>
      </c>
      <c r="G25" s="11">
        <v>0</v>
      </c>
      <c r="H25" s="11">
        <v>0</v>
      </c>
      <c r="I25" s="14">
        <v>0</v>
      </c>
      <c r="J25" s="14">
        <v>0</v>
      </c>
      <c r="K25" s="14">
        <f t="shared" si="3"/>
        <v>0</v>
      </c>
      <c r="L25" s="15">
        <f t="shared" si="1"/>
        <v>0</v>
      </c>
      <c r="M25" s="16">
        <f t="shared" si="2"/>
        <v>0</v>
      </c>
    </row>
    <row r="26" spans="1:15" ht="13.5" x14ac:dyDescent="0.2">
      <c r="A26" s="9" t="s">
        <v>32</v>
      </c>
      <c r="B26" s="10">
        <v>1483500</v>
      </c>
      <c r="C26" s="10">
        <v>1483500</v>
      </c>
      <c r="D26" s="11">
        <v>0</v>
      </c>
      <c r="E26" s="10">
        <v>1483500</v>
      </c>
      <c r="F26" s="12">
        <f>+E26/C26</f>
        <v>1</v>
      </c>
      <c r="G26" s="11">
        <v>0</v>
      </c>
      <c r="H26" s="13">
        <v>21101.51</v>
      </c>
      <c r="I26" s="14">
        <v>0</v>
      </c>
      <c r="J26" s="14">
        <f>12788.79+6394.4+1918.32</f>
        <v>21101.510000000002</v>
      </c>
      <c r="K26" s="14">
        <f t="shared" si="3"/>
        <v>0</v>
      </c>
      <c r="L26" s="15">
        <f t="shared" si="1"/>
        <v>1</v>
      </c>
      <c r="M26" s="16">
        <f t="shared" si="2"/>
        <v>0</v>
      </c>
    </row>
    <row r="27" spans="1:15" s="5" customFormat="1" ht="13.5" x14ac:dyDescent="0.2">
      <c r="A27" s="20" t="s">
        <v>33</v>
      </c>
      <c r="B27" s="21">
        <f>SUM(B9:B26)</f>
        <v>102351351.86000001</v>
      </c>
      <c r="C27" s="21">
        <f t="shared" ref="C27:K27" si="5">SUM(C9:C26)</f>
        <v>95863888.019999996</v>
      </c>
      <c r="D27" s="21">
        <f t="shared" si="5"/>
        <v>157437.76000000001</v>
      </c>
      <c r="E27" s="21">
        <f t="shared" si="5"/>
        <v>86289240.670000002</v>
      </c>
      <c r="F27" s="22">
        <f>+E27/C27</f>
        <v>0.90012248044850374</v>
      </c>
      <c r="G27" s="21">
        <f t="shared" si="5"/>
        <v>9732085.1099999975</v>
      </c>
      <c r="H27" s="21">
        <f t="shared" si="5"/>
        <v>11848456.76</v>
      </c>
      <c r="I27" s="21">
        <f t="shared" si="5"/>
        <v>1246550.02</v>
      </c>
      <c r="J27" s="21">
        <f t="shared" si="5"/>
        <v>3218812.7199999997</v>
      </c>
      <c r="K27" s="21">
        <f t="shared" si="5"/>
        <v>9876194.0600000005</v>
      </c>
      <c r="L27" s="23"/>
    </row>
    <row r="28" spans="1:15" ht="13.5" x14ac:dyDescent="0.2">
      <c r="A28" s="9" t="s">
        <v>18</v>
      </c>
      <c r="B28" s="10">
        <v>0</v>
      </c>
      <c r="C28" s="10">
        <v>0</v>
      </c>
      <c r="D28" s="10"/>
      <c r="E28" s="10">
        <v>0</v>
      </c>
      <c r="F28" s="12">
        <v>0</v>
      </c>
      <c r="G28" s="10">
        <v>4283.6000000000004</v>
      </c>
      <c r="H28" s="10">
        <v>32268.68</v>
      </c>
      <c r="I28" s="10">
        <v>0</v>
      </c>
      <c r="J28" s="10">
        <v>27985.08</v>
      </c>
      <c r="K28" s="10">
        <f t="shared" si="3"/>
        <v>4283.5999999999985</v>
      </c>
      <c r="L28" s="15"/>
      <c r="M28" s="16">
        <f t="shared" si="2"/>
        <v>0</v>
      </c>
    </row>
    <row r="29" spans="1:15" ht="13.5" x14ac:dyDescent="0.2">
      <c r="A29" s="9" t="s">
        <v>20</v>
      </c>
      <c r="B29" s="10">
        <v>0</v>
      </c>
      <c r="C29" s="10">
        <v>0</v>
      </c>
      <c r="D29" s="10"/>
      <c r="E29" s="10">
        <v>0</v>
      </c>
      <c r="F29" s="12">
        <v>0</v>
      </c>
      <c r="G29" s="10">
        <v>980.95</v>
      </c>
      <c r="H29" s="10">
        <v>45477.47</v>
      </c>
      <c r="I29" s="10">
        <v>0</v>
      </c>
      <c r="J29" s="10">
        <v>0</v>
      </c>
      <c r="K29" s="10">
        <f t="shared" si="3"/>
        <v>45477.47</v>
      </c>
      <c r="L29" s="15"/>
      <c r="M29" s="16">
        <f t="shared" si="2"/>
        <v>44496.520000000004</v>
      </c>
    </row>
    <row r="30" spans="1:15" ht="13.5" x14ac:dyDescent="0.2">
      <c r="A30" s="9" t="s">
        <v>25</v>
      </c>
      <c r="B30" s="10">
        <v>0</v>
      </c>
      <c r="C30" s="10">
        <v>0</v>
      </c>
      <c r="D30" s="10"/>
      <c r="E30" s="10">
        <v>0</v>
      </c>
      <c r="F30" s="12">
        <v>0</v>
      </c>
      <c r="G30" s="10">
        <v>45082.35</v>
      </c>
      <c r="H30" s="10">
        <v>45082.35</v>
      </c>
      <c r="I30" s="10">
        <v>0</v>
      </c>
      <c r="J30" s="10">
        <v>0</v>
      </c>
      <c r="K30" s="10">
        <f t="shared" si="3"/>
        <v>45082.35</v>
      </c>
      <c r="L30" s="15"/>
      <c r="M30" s="16">
        <f t="shared" si="2"/>
        <v>0</v>
      </c>
    </row>
    <row r="31" spans="1:15" ht="13.5" x14ac:dyDescent="0.2">
      <c r="A31" s="9" t="s">
        <v>26</v>
      </c>
      <c r="B31" s="10">
        <v>0</v>
      </c>
      <c r="C31" s="10">
        <v>0</v>
      </c>
      <c r="D31" s="10"/>
      <c r="E31" s="10">
        <v>0</v>
      </c>
      <c r="F31" s="12">
        <v>0</v>
      </c>
      <c r="G31" s="10">
        <v>220218.16</v>
      </c>
      <c r="H31" s="10">
        <v>20218.16</v>
      </c>
      <c r="I31" s="10">
        <v>200000</v>
      </c>
      <c r="J31" s="10">
        <v>0</v>
      </c>
      <c r="K31" s="10">
        <f t="shared" si="3"/>
        <v>220218.16</v>
      </c>
      <c r="L31" s="15"/>
      <c r="M31" s="16">
        <f t="shared" si="2"/>
        <v>0</v>
      </c>
    </row>
    <row r="32" spans="1:15" ht="13.5" x14ac:dyDescent="0.2">
      <c r="A32" s="9" t="s">
        <v>29</v>
      </c>
      <c r="B32" s="10">
        <v>0</v>
      </c>
      <c r="C32" s="10">
        <v>0</v>
      </c>
      <c r="D32" s="10"/>
      <c r="E32" s="10">
        <v>0</v>
      </c>
      <c r="F32" s="12">
        <v>0</v>
      </c>
      <c r="G32" s="10">
        <v>7046921.4000000004</v>
      </c>
      <c r="H32" s="10">
        <f>66.53+2515998.64</f>
        <v>2516065.17</v>
      </c>
      <c r="I32" s="10">
        <v>0</v>
      </c>
      <c r="J32" s="10">
        <v>23933.48</v>
      </c>
      <c r="K32" s="10">
        <f t="shared" si="3"/>
        <v>2492131.69</v>
      </c>
      <c r="L32" s="15"/>
      <c r="M32" s="16">
        <f t="shared" si="2"/>
        <v>-4554789.7100000009</v>
      </c>
    </row>
    <row r="33" spans="1:13" ht="27" x14ac:dyDescent="0.2">
      <c r="A33" s="9" t="s">
        <v>34</v>
      </c>
      <c r="B33" s="10">
        <v>0</v>
      </c>
      <c r="C33" s="10">
        <v>0</v>
      </c>
      <c r="D33" s="10"/>
      <c r="E33" s="10">
        <v>0</v>
      </c>
      <c r="F33" s="12">
        <v>0</v>
      </c>
      <c r="G33" s="10">
        <v>1325080.67</v>
      </c>
      <c r="H33" s="10">
        <v>237102.37</v>
      </c>
      <c r="I33" s="10">
        <v>30099.8</v>
      </c>
      <c r="J33" s="10">
        <v>118844.56</v>
      </c>
      <c r="K33" s="10">
        <f t="shared" si="3"/>
        <v>148357.60999999999</v>
      </c>
      <c r="L33" s="15"/>
      <c r="M33" s="16">
        <f t="shared" si="2"/>
        <v>-1176723.06</v>
      </c>
    </row>
    <row r="34" spans="1:13" ht="13.5" x14ac:dyDescent="0.2">
      <c r="A34" s="9"/>
      <c r="B34" s="10">
        <v>0</v>
      </c>
      <c r="C34" s="10">
        <v>0</v>
      </c>
      <c r="D34" s="10"/>
      <c r="E34" s="10">
        <v>0</v>
      </c>
      <c r="F34" s="12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3"/>
        <v>0</v>
      </c>
      <c r="L34" s="15"/>
      <c r="M34" s="16">
        <f t="shared" si="2"/>
        <v>0</v>
      </c>
    </row>
    <row r="35" spans="1:13" ht="13.5" x14ac:dyDescent="0.2">
      <c r="A35" s="24" t="s">
        <v>35</v>
      </c>
      <c r="B35" s="25">
        <v>0</v>
      </c>
      <c r="C35" s="25">
        <v>0</v>
      </c>
      <c r="D35" s="25"/>
      <c r="E35" s="25">
        <v>0</v>
      </c>
      <c r="F35" s="26">
        <v>0</v>
      </c>
      <c r="G35" s="25">
        <v>8642567.129999999</v>
      </c>
      <c r="H35" s="25">
        <v>8663489.0099999998</v>
      </c>
      <c r="I35" s="25">
        <v>934578.57000000007</v>
      </c>
      <c r="J35" s="25">
        <v>955500.45</v>
      </c>
      <c r="K35" s="25">
        <f t="shared" si="3"/>
        <v>8642567.1300000008</v>
      </c>
      <c r="L35" s="27"/>
      <c r="M35" s="16">
        <f t="shared" si="2"/>
        <v>0</v>
      </c>
    </row>
    <row r="36" spans="1:13" ht="13.5" x14ac:dyDescent="0.2">
      <c r="A36" s="9" t="s">
        <v>18</v>
      </c>
      <c r="B36" s="10">
        <v>0</v>
      </c>
      <c r="C36" s="10">
        <v>0</v>
      </c>
      <c r="D36" s="10"/>
      <c r="E36" s="10">
        <v>0</v>
      </c>
      <c r="F36" s="12">
        <v>0</v>
      </c>
      <c r="G36" s="10">
        <v>57064.89</v>
      </c>
      <c r="H36" s="10">
        <v>132233.86000000002</v>
      </c>
      <c r="I36" s="10">
        <v>185.03</v>
      </c>
      <c r="J36" s="10">
        <v>75354</v>
      </c>
      <c r="K36" s="10">
        <f t="shared" si="3"/>
        <v>57064.890000000014</v>
      </c>
      <c r="L36" s="15"/>
      <c r="M36" s="16">
        <f t="shared" si="2"/>
        <v>0</v>
      </c>
    </row>
    <row r="37" spans="1:13" ht="13.5" x14ac:dyDescent="0.2">
      <c r="A37" s="9" t="s">
        <v>36</v>
      </c>
      <c r="B37" s="10">
        <v>0</v>
      </c>
      <c r="C37" s="10">
        <v>0</v>
      </c>
      <c r="D37" s="10"/>
      <c r="E37" s="10">
        <v>0</v>
      </c>
      <c r="F37" s="12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3"/>
        <v>0</v>
      </c>
      <c r="L37" s="15"/>
      <c r="M37" s="16">
        <f t="shared" si="2"/>
        <v>0</v>
      </c>
    </row>
    <row r="38" spans="1:13" ht="13.5" x14ac:dyDescent="0.2">
      <c r="A38" s="9" t="s">
        <v>20</v>
      </c>
      <c r="B38" s="10">
        <v>0</v>
      </c>
      <c r="C38" s="10">
        <v>0</v>
      </c>
      <c r="D38" s="10"/>
      <c r="E38" s="10">
        <v>0</v>
      </c>
      <c r="F38" s="12">
        <v>0</v>
      </c>
      <c r="G38" s="10">
        <v>54914.5</v>
      </c>
      <c r="H38" s="10">
        <v>51501.9</v>
      </c>
      <c r="I38" s="10">
        <v>0</v>
      </c>
      <c r="J38" s="10">
        <v>-3412.6000000000931</v>
      </c>
      <c r="K38" s="10">
        <f t="shared" si="3"/>
        <v>54914.500000000095</v>
      </c>
      <c r="L38" s="15"/>
      <c r="M38" s="16">
        <f t="shared" si="2"/>
        <v>9.4587448984384537E-11</v>
      </c>
    </row>
    <row r="39" spans="1:13" ht="13.5" x14ac:dyDescent="0.2">
      <c r="A39" s="9" t="s">
        <v>21</v>
      </c>
      <c r="B39" s="10">
        <v>0</v>
      </c>
      <c r="C39" s="10">
        <v>0</v>
      </c>
      <c r="D39" s="10"/>
      <c r="E39" s="10">
        <v>0</v>
      </c>
      <c r="F39" s="12">
        <v>0</v>
      </c>
      <c r="G39" s="10">
        <v>5979.07</v>
      </c>
      <c r="H39" s="10">
        <v>5979.07</v>
      </c>
      <c r="I39" s="10">
        <v>0</v>
      </c>
      <c r="J39" s="10">
        <v>0</v>
      </c>
      <c r="K39" s="10">
        <f t="shared" si="3"/>
        <v>5979.07</v>
      </c>
      <c r="L39" s="15"/>
      <c r="M39" s="16">
        <f t="shared" si="2"/>
        <v>0</v>
      </c>
    </row>
    <row r="40" spans="1:13" ht="13.5" x14ac:dyDescent="0.2">
      <c r="A40" s="9" t="s">
        <v>22</v>
      </c>
      <c r="B40" s="10">
        <v>0</v>
      </c>
      <c r="C40" s="10">
        <v>0</v>
      </c>
      <c r="D40" s="10"/>
      <c r="E40" s="10">
        <v>0</v>
      </c>
      <c r="F40" s="12">
        <v>0</v>
      </c>
      <c r="G40" s="10">
        <v>60932.3</v>
      </c>
      <c r="H40" s="10">
        <v>60932.3</v>
      </c>
      <c r="I40" s="10">
        <v>0</v>
      </c>
      <c r="J40" s="10">
        <v>0</v>
      </c>
      <c r="K40" s="10">
        <f t="shared" si="3"/>
        <v>60932.3</v>
      </c>
      <c r="L40" s="15"/>
      <c r="M40" s="16">
        <f t="shared" si="2"/>
        <v>0</v>
      </c>
    </row>
    <row r="41" spans="1:13" ht="13.5" x14ac:dyDescent="0.2">
      <c r="A41" s="9" t="s">
        <v>24</v>
      </c>
      <c r="B41" s="10">
        <v>0</v>
      </c>
      <c r="C41" s="10">
        <v>0</v>
      </c>
      <c r="D41" s="10"/>
      <c r="E41" s="10">
        <v>0</v>
      </c>
      <c r="F41" s="12">
        <v>0</v>
      </c>
      <c r="G41" s="10">
        <v>17486.5</v>
      </c>
      <c r="H41" s="10">
        <v>17486.5</v>
      </c>
      <c r="I41" s="10">
        <v>0</v>
      </c>
      <c r="J41" s="10">
        <v>0</v>
      </c>
      <c r="K41" s="10">
        <f t="shared" si="3"/>
        <v>17486.5</v>
      </c>
      <c r="L41" s="15"/>
      <c r="M41" s="16">
        <f t="shared" si="2"/>
        <v>0</v>
      </c>
    </row>
    <row r="42" spans="1:13" ht="13.5" x14ac:dyDescent="0.2">
      <c r="A42" s="9" t="s">
        <v>25</v>
      </c>
      <c r="B42" s="10">
        <v>0</v>
      </c>
      <c r="C42" s="10">
        <v>0</v>
      </c>
      <c r="D42" s="10"/>
      <c r="E42" s="10">
        <v>0</v>
      </c>
      <c r="F42" s="12">
        <v>0</v>
      </c>
      <c r="G42" s="10">
        <v>11051.67</v>
      </c>
      <c r="H42" s="10">
        <v>11051.67</v>
      </c>
      <c r="I42" s="10">
        <v>0</v>
      </c>
      <c r="J42" s="10">
        <v>0</v>
      </c>
      <c r="K42" s="10">
        <f t="shared" si="3"/>
        <v>11051.67</v>
      </c>
      <c r="L42" s="15"/>
      <c r="M42" s="16">
        <f t="shared" si="2"/>
        <v>0</v>
      </c>
    </row>
    <row r="43" spans="1:13" ht="13.5" x14ac:dyDescent="0.2">
      <c r="A43" s="9" t="s">
        <v>29</v>
      </c>
      <c r="B43" s="10">
        <v>0</v>
      </c>
      <c r="C43" s="10">
        <v>0</v>
      </c>
      <c r="D43" s="10"/>
      <c r="E43" s="10">
        <v>0</v>
      </c>
      <c r="F43" s="12">
        <v>0</v>
      </c>
      <c r="G43" s="10">
        <v>579680.76</v>
      </c>
      <c r="H43" s="10">
        <v>511987.09</v>
      </c>
      <c r="I43" s="10">
        <v>98358.75</v>
      </c>
      <c r="J43" s="10">
        <v>30665.079999999998</v>
      </c>
      <c r="K43" s="10">
        <f t="shared" si="3"/>
        <v>579680.76000000013</v>
      </c>
      <c r="L43" s="15"/>
      <c r="M43" s="16">
        <f t="shared" si="2"/>
        <v>0</v>
      </c>
    </row>
    <row r="44" spans="1:13" ht="13.5" x14ac:dyDescent="0.2">
      <c r="A44" s="9" t="s">
        <v>30</v>
      </c>
      <c r="B44" s="10">
        <v>0</v>
      </c>
      <c r="C44" s="10">
        <v>0</v>
      </c>
      <c r="D44" s="10"/>
      <c r="E44" s="10">
        <v>0</v>
      </c>
      <c r="F44" s="12">
        <v>0</v>
      </c>
      <c r="G44" s="10">
        <v>6199.68</v>
      </c>
      <c r="H44" s="10">
        <v>0</v>
      </c>
      <c r="I44" s="10">
        <v>6199.68</v>
      </c>
      <c r="J44" s="10">
        <v>0</v>
      </c>
      <c r="K44" s="10">
        <f t="shared" si="3"/>
        <v>6199.68</v>
      </c>
      <c r="L44" s="15"/>
      <c r="M44" s="16">
        <f t="shared" si="2"/>
        <v>0</v>
      </c>
    </row>
    <row r="45" spans="1:13" ht="13.5" x14ac:dyDescent="0.2">
      <c r="A45" s="9">
        <v>3001</v>
      </c>
      <c r="B45" s="10">
        <v>0</v>
      </c>
      <c r="C45" s="10">
        <v>0</v>
      </c>
      <c r="D45" s="10"/>
      <c r="E45" s="10">
        <v>0</v>
      </c>
      <c r="F45" s="12">
        <v>0</v>
      </c>
      <c r="G45" s="10">
        <v>510.97</v>
      </c>
      <c r="H45" s="10">
        <v>696</v>
      </c>
      <c r="I45" s="10">
        <v>0</v>
      </c>
      <c r="J45" s="10">
        <v>185.03</v>
      </c>
      <c r="K45" s="10">
        <f t="shared" si="3"/>
        <v>510.97</v>
      </c>
      <c r="L45" s="15"/>
      <c r="M45" s="16">
        <f t="shared" si="2"/>
        <v>0</v>
      </c>
    </row>
    <row r="46" spans="1:13" ht="13.5" x14ac:dyDescent="0.2">
      <c r="A46" s="9">
        <v>3002</v>
      </c>
      <c r="B46" s="10">
        <v>0</v>
      </c>
      <c r="C46" s="10">
        <v>0</v>
      </c>
      <c r="D46" s="10"/>
      <c r="E46" s="10">
        <v>0</v>
      </c>
      <c r="F46" s="12">
        <v>0</v>
      </c>
      <c r="G46" s="10">
        <v>64791.47</v>
      </c>
      <c r="H46" s="10">
        <v>64920.78</v>
      </c>
      <c r="I46" s="10">
        <v>0</v>
      </c>
      <c r="J46" s="10">
        <v>129.31</v>
      </c>
      <c r="K46" s="10">
        <f t="shared" si="3"/>
        <v>64791.47</v>
      </c>
      <c r="L46" s="15"/>
      <c r="M46" s="16">
        <f t="shared" si="2"/>
        <v>0</v>
      </c>
    </row>
    <row r="47" spans="1:13" ht="13.5" x14ac:dyDescent="0.2">
      <c r="A47" s="9"/>
      <c r="B47" s="10">
        <v>0</v>
      </c>
      <c r="C47" s="10">
        <v>0</v>
      </c>
      <c r="D47" s="10"/>
      <c r="E47" s="10">
        <v>0</v>
      </c>
      <c r="F47" s="12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3"/>
        <v>0</v>
      </c>
      <c r="L47" s="15"/>
      <c r="M47" s="16">
        <f t="shared" si="2"/>
        <v>0</v>
      </c>
    </row>
    <row r="48" spans="1:13" ht="13.5" x14ac:dyDescent="0.2">
      <c r="A48" s="24" t="s">
        <v>37</v>
      </c>
      <c r="B48" s="25">
        <v>0</v>
      </c>
      <c r="C48" s="25">
        <v>0</v>
      </c>
      <c r="D48" s="25"/>
      <c r="E48" s="25">
        <v>0</v>
      </c>
      <c r="F48" s="26">
        <v>0</v>
      </c>
      <c r="G48" s="25">
        <v>858611.81</v>
      </c>
      <c r="H48" s="25">
        <v>1406472.59</v>
      </c>
      <c r="I48" s="25">
        <v>349383.04000000004</v>
      </c>
      <c r="J48" s="25">
        <v>897243.82</v>
      </c>
      <c r="K48" s="25">
        <f t="shared" si="3"/>
        <v>858611.81000000017</v>
      </c>
      <c r="L48" s="27"/>
      <c r="M48" s="16">
        <f t="shared" si="2"/>
        <v>0</v>
      </c>
    </row>
    <row r="49" spans="1:13" ht="13.5" x14ac:dyDescent="0.2">
      <c r="A49" s="9" t="s">
        <v>18</v>
      </c>
      <c r="B49" s="10">
        <v>0</v>
      </c>
      <c r="C49" s="10">
        <v>0</v>
      </c>
      <c r="D49" s="10"/>
      <c r="E49" s="10">
        <v>0</v>
      </c>
      <c r="F49" s="12">
        <v>0</v>
      </c>
      <c r="G49" s="10">
        <v>38436.01</v>
      </c>
      <c r="H49" s="10">
        <v>62509.189999999988</v>
      </c>
      <c r="I49" s="10">
        <v>236626.82</v>
      </c>
      <c r="J49" s="10">
        <v>260700</v>
      </c>
      <c r="K49" s="10">
        <f t="shared" si="3"/>
        <v>38436.010000000009</v>
      </c>
      <c r="L49" s="15"/>
      <c r="M49" s="16">
        <f t="shared" si="2"/>
        <v>0</v>
      </c>
    </row>
    <row r="50" spans="1:13" ht="13.5" x14ac:dyDescent="0.2">
      <c r="A50" s="9" t="s">
        <v>20</v>
      </c>
      <c r="B50" s="10">
        <v>0</v>
      </c>
      <c r="C50" s="10">
        <v>0</v>
      </c>
      <c r="D50" s="10"/>
      <c r="E50" s="10">
        <v>0</v>
      </c>
      <c r="F50" s="12">
        <v>0</v>
      </c>
      <c r="G50" s="10">
        <v>137672.87</v>
      </c>
      <c r="H50" s="10">
        <v>19069.32</v>
      </c>
      <c r="I50" s="10">
        <v>1797063.97</v>
      </c>
      <c r="J50" s="10">
        <v>1678460.42</v>
      </c>
      <c r="K50" s="10">
        <f t="shared" si="3"/>
        <v>137672.87000000011</v>
      </c>
      <c r="L50" s="15"/>
      <c r="M50" s="16">
        <f t="shared" si="2"/>
        <v>0</v>
      </c>
    </row>
    <row r="51" spans="1:13" ht="13.5" x14ac:dyDescent="0.2">
      <c r="A51" s="9" t="s">
        <v>24</v>
      </c>
      <c r="B51" s="10">
        <v>0</v>
      </c>
      <c r="C51" s="10">
        <v>0</v>
      </c>
      <c r="D51" s="10"/>
      <c r="E51" s="10">
        <v>0</v>
      </c>
      <c r="F51" s="12">
        <v>0</v>
      </c>
      <c r="G51" s="10">
        <v>1712.89</v>
      </c>
      <c r="H51" s="10">
        <v>-15687.87</v>
      </c>
      <c r="I51" s="10">
        <v>536079.56000000006</v>
      </c>
      <c r="J51" s="10">
        <v>518678.8</v>
      </c>
      <c r="K51" s="10">
        <f t="shared" si="3"/>
        <v>1712.8900000000722</v>
      </c>
      <c r="L51" s="15"/>
      <c r="M51" s="16">
        <f t="shared" si="2"/>
        <v>7.2077455115504563E-11</v>
      </c>
    </row>
    <row r="52" spans="1:13" ht="13.5" x14ac:dyDescent="0.2">
      <c r="A52" s="9" t="s">
        <v>25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18649.8</v>
      </c>
      <c r="H52" s="10">
        <v>40388.06</v>
      </c>
      <c r="I52" s="10">
        <v>100000</v>
      </c>
      <c r="J52" s="10">
        <v>121738.26</v>
      </c>
      <c r="K52" s="10">
        <f t="shared" si="3"/>
        <v>18649.800000000003</v>
      </c>
      <c r="L52" s="15"/>
      <c r="M52" s="16">
        <f t="shared" si="2"/>
        <v>0</v>
      </c>
    </row>
    <row r="53" spans="1:13" ht="13.5" x14ac:dyDescent="0.2">
      <c r="A53" s="9" t="s">
        <v>29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337850.79</v>
      </c>
      <c r="H53" s="10">
        <v>419631.03</v>
      </c>
      <c r="I53" s="10">
        <v>-7.49</v>
      </c>
      <c r="J53" s="10">
        <v>81772.75</v>
      </c>
      <c r="K53" s="10">
        <f t="shared" si="3"/>
        <v>337850.79000000004</v>
      </c>
      <c r="L53" s="15"/>
      <c r="M53" s="16">
        <f t="shared" si="2"/>
        <v>0</v>
      </c>
    </row>
    <row r="54" spans="1:13" ht="13.5" x14ac:dyDescent="0.2">
      <c r="A54" s="9" t="s">
        <v>30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0</v>
      </c>
      <c r="H54" s="10">
        <v>538779.80000000005</v>
      </c>
      <c r="I54" s="10">
        <v>0</v>
      </c>
      <c r="J54" s="10">
        <v>538779.80000000005</v>
      </c>
      <c r="K54" s="10">
        <f t="shared" si="3"/>
        <v>0</v>
      </c>
      <c r="L54" s="15"/>
      <c r="M54" s="16">
        <f t="shared" si="2"/>
        <v>0</v>
      </c>
    </row>
    <row r="55" spans="1:13" ht="13.5" x14ac:dyDescent="0.2">
      <c r="A55" s="9">
        <v>3001</v>
      </c>
      <c r="B55" s="10">
        <v>0</v>
      </c>
      <c r="C55" s="10">
        <v>0</v>
      </c>
      <c r="D55" s="10"/>
      <c r="E55" s="10">
        <v>0</v>
      </c>
      <c r="F55" s="12">
        <v>0</v>
      </c>
      <c r="G55" s="10">
        <v>314.99</v>
      </c>
      <c r="H55" s="10">
        <v>315</v>
      </c>
      <c r="I55" s="10">
        <v>0</v>
      </c>
      <c r="J55" s="10">
        <v>0.01</v>
      </c>
      <c r="K55" s="10">
        <f t="shared" si="3"/>
        <v>314.99</v>
      </c>
      <c r="L55" s="15"/>
      <c r="M55" s="16">
        <f t="shared" si="2"/>
        <v>0</v>
      </c>
    </row>
    <row r="56" spans="1:13" ht="13.5" x14ac:dyDescent="0.2">
      <c r="A56" s="9">
        <v>3002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12858.9</v>
      </c>
      <c r="H56" s="10">
        <v>12858.91</v>
      </c>
      <c r="I56" s="10">
        <v>0</v>
      </c>
      <c r="J56" s="10">
        <v>0.01</v>
      </c>
      <c r="K56" s="10">
        <f t="shared" si="3"/>
        <v>12858.9</v>
      </c>
      <c r="L56" s="15"/>
      <c r="M56" s="16">
        <f t="shared" si="2"/>
        <v>0</v>
      </c>
    </row>
    <row r="57" spans="1:13" ht="13.5" x14ac:dyDescent="0.2">
      <c r="A57" s="9"/>
      <c r="B57" s="10">
        <v>0</v>
      </c>
      <c r="C57" s="10">
        <v>0</v>
      </c>
      <c r="D57" s="10"/>
      <c r="E57" s="10">
        <v>0</v>
      </c>
      <c r="F57" s="12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3"/>
        <v>0</v>
      </c>
      <c r="L57" s="15"/>
      <c r="M57" s="16">
        <f t="shared" si="2"/>
        <v>0</v>
      </c>
    </row>
    <row r="58" spans="1:13" ht="13.5" x14ac:dyDescent="0.2">
      <c r="A58" s="24" t="s">
        <v>38</v>
      </c>
      <c r="B58" s="25">
        <v>0</v>
      </c>
      <c r="C58" s="25">
        <v>0</v>
      </c>
      <c r="D58" s="25"/>
      <c r="E58" s="25">
        <v>0</v>
      </c>
      <c r="F58" s="26">
        <v>0</v>
      </c>
      <c r="G58" s="25">
        <v>547496.25</v>
      </c>
      <c r="H58" s="25">
        <v>1077863.44</v>
      </c>
      <c r="I58" s="25">
        <v>2669762.86</v>
      </c>
      <c r="J58" s="25">
        <v>3200130.0499999989</v>
      </c>
      <c r="K58" s="25">
        <f t="shared" si="3"/>
        <v>547496.25000000093</v>
      </c>
      <c r="L58" s="27"/>
      <c r="M58" s="16">
        <f t="shared" si="2"/>
        <v>9.3132257461547852E-10</v>
      </c>
    </row>
    <row r="59" spans="1:13" ht="13.5" x14ac:dyDescent="0.2">
      <c r="A59" s="9" t="s">
        <v>18</v>
      </c>
      <c r="B59" s="10">
        <v>0</v>
      </c>
      <c r="C59" s="10">
        <v>0</v>
      </c>
      <c r="D59" s="10"/>
      <c r="E59" s="10">
        <v>0</v>
      </c>
      <c r="F59" s="12">
        <v>0</v>
      </c>
      <c r="G59" s="10">
        <v>70435.27</v>
      </c>
      <c r="H59" s="10">
        <v>27196.65</v>
      </c>
      <c r="I59" s="10">
        <v>1260055.98</v>
      </c>
      <c r="J59" s="10">
        <v>1216817.3599999999</v>
      </c>
      <c r="K59" s="10">
        <f t="shared" si="3"/>
        <v>70435.270000000019</v>
      </c>
      <c r="L59" s="15"/>
      <c r="M59" s="16">
        <f t="shared" si="2"/>
        <v>0</v>
      </c>
    </row>
    <row r="60" spans="1:13" ht="13.5" x14ac:dyDescent="0.2">
      <c r="A60" s="9" t="s">
        <v>36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-10</v>
      </c>
      <c r="H60" s="10">
        <v>-10</v>
      </c>
      <c r="I60" s="10">
        <v>0</v>
      </c>
      <c r="J60" s="10">
        <v>0</v>
      </c>
      <c r="K60" s="10">
        <f t="shared" si="3"/>
        <v>-10</v>
      </c>
      <c r="L60" s="15"/>
      <c r="M60" s="16">
        <f t="shared" si="2"/>
        <v>0</v>
      </c>
    </row>
    <row r="61" spans="1:13" ht="13.5" x14ac:dyDescent="0.2">
      <c r="A61" s="9" t="s">
        <v>20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10409.09</v>
      </c>
      <c r="H61" s="10">
        <v>8124.4500000000007</v>
      </c>
      <c r="I61" s="10">
        <v>1364164.99</v>
      </c>
      <c r="J61" s="10">
        <v>1361880.35</v>
      </c>
      <c r="K61" s="10">
        <f t="shared" si="3"/>
        <v>10409.089999999851</v>
      </c>
      <c r="L61" s="15"/>
      <c r="M61" s="16">
        <f t="shared" si="2"/>
        <v>-1.4915713109076023E-10</v>
      </c>
    </row>
    <row r="62" spans="1:13" ht="13.5" x14ac:dyDescent="0.2">
      <c r="A62" s="9" t="s">
        <v>24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1150.8900000000001</v>
      </c>
      <c r="H62" s="10">
        <v>42631.81</v>
      </c>
      <c r="I62" s="10">
        <v>412765.08</v>
      </c>
      <c r="J62" s="10">
        <v>454246</v>
      </c>
      <c r="K62" s="10">
        <f t="shared" si="3"/>
        <v>1150.890000000014</v>
      </c>
      <c r="L62" s="15"/>
      <c r="M62" s="16">
        <f t="shared" si="2"/>
        <v>1.3869794202037156E-11</v>
      </c>
    </row>
    <row r="63" spans="1:13" ht="13.5" x14ac:dyDescent="0.2">
      <c r="A63" s="9" t="s">
        <v>25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-1415.64</v>
      </c>
      <c r="H63" s="10">
        <v>719.87</v>
      </c>
      <c r="I63" s="10">
        <v>17662.490000000002</v>
      </c>
      <c r="J63" s="10">
        <v>19798</v>
      </c>
      <c r="K63" s="10">
        <f t="shared" si="3"/>
        <v>-1415.6399999999994</v>
      </c>
      <c r="L63" s="15"/>
      <c r="M63" s="16">
        <f t="shared" si="2"/>
        <v>0</v>
      </c>
    </row>
    <row r="64" spans="1:13" ht="13.5" x14ac:dyDescent="0.2">
      <c r="A64" s="9" t="s">
        <v>27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267528.84000000003</v>
      </c>
      <c r="H64" s="10">
        <v>0</v>
      </c>
      <c r="I64" s="10">
        <v>267528.84000000003</v>
      </c>
      <c r="J64" s="10">
        <v>0</v>
      </c>
      <c r="K64" s="10">
        <f t="shared" si="3"/>
        <v>267528.84000000003</v>
      </c>
      <c r="L64" s="15"/>
      <c r="M64" s="16">
        <f t="shared" si="2"/>
        <v>0</v>
      </c>
    </row>
    <row r="65" spans="1:13" ht="13.5" x14ac:dyDescent="0.2">
      <c r="A65" s="9" t="s">
        <v>29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238880.59</v>
      </c>
      <c r="H65" s="10">
        <v>286118.3</v>
      </c>
      <c r="I65" s="10">
        <v>98358.74</v>
      </c>
      <c r="J65" s="10">
        <v>145596.44999999998</v>
      </c>
      <c r="K65" s="10">
        <f t="shared" si="3"/>
        <v>238880.59</v>
      </c>
      <c r="L65" s="15"/>
      <c r="M65" s="16">
        <f t="shared" si="2"/>
        <v>0</v>
      </c>
    </row>
    <row r="66" spans="1:13" ht="13.5" x14ac:dyDescent="0.2">
      <c r="A66" s="9" t="s">
        <v>30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3"/>
        <v>0</v>
      </c>
      <c r="L66" s="15"/>
      <c r="M66" s="16">
        <f t="shared" si="2"/>
        <v>0</v>
      </c>
    </row>
    <row r="67" spans="1:13" ht="13.5" x14ac:dyDescent="0.2">
      <c r="A67" s="9"/>
      <c r="B67" s="10">
        <v>0</v>
      </c>
      <c r="C67" s="10">
        <v>0</v>
      </c>
      <c r="D67" s="10"/>
      <c r="E67" s="10">
        <v>0</v>
      </c>
      <c r="F67" s="12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3"/>
        <v>0</v>
      </c>
      <c r="L67" s="15"/>
      <c r="M67" s="16">
        <f t="shared" si="2"/>
        <v>0</v>
      </c>
    </row>
    <row r="68" spans="1:13" ht="13.5" x14ac:dyDescent="0.2">
      <c r="A68" s="24" t="s">
        <v>39</v>
      </c>
      <c r="B68" s="25">
        <v>0</v>
      </c>
      <c r="C68" s="25">
        <v>0</v>
      </c>
      <c r="D68" s="25"/>
      <c r="E68" s="25">
        <v>0</v>
      </c>
      <c r="F68" s="26">
        <v>0</v>
      </c>
      <c r="G68" s="25">
        <v>586979.04</v>
      </c>
      <c r="H68" s="25">
        <v>364781.07999999996</v>
      </c>
      <c r="I68" s="25">
        <v>3420536.12</v>
      </c>
      <c r="J68" s="25">
        <v>3198338.16</v>
      </c>
      <c r="K68" s="25">
        <f t="shared" si="3"/>
        <v>586979.04</v>
      </c>
      <c r="L68" s="27"/>
      <c r="M68" s="16">
        <f t="shared" si="2"/>
        <v>0</v>
      </c>
    </row>
    <row r="69" spans="1:13" ht="13.5" x14ac:dyDescent="0.2">
      <c r="A69" s="9" t="s">
        <v>18</v>
      </c>
      <c r="B69" s="10">
        <v>0</v>
      </c>
      <c r="C69" s="10">
        <v>0</v>
      </c>
      <c r="D69" s="10"/>
      <c r="E69" s="10">
        <v>0</v>
      </c>
      <c r="F69" s="12">
        <v>0</v>
      </c>
      <c r="G69" s="10">
        <v>1852.17</v>
      </c>
      <c r="H69" s="10">
        <v>21852.97</v>
      </c>
      <c r="I69" s="10">
        <v>0</v>
      </c>
      <c r="J69" s="10">
        <v>20000.8</v>
      </c>
      <c r="K69" s="10">
        <f t="shared" si="3"/>
        <v>1852.1700000000019</v>
      </c>
      <c r="L69" s="15"/>
      <c r="M69" s="16">
        <f t="shared" si="2"/>
        <v>1.8189894035458565E-12</v>
      </c>
    </row>
    <row r="70" spans="1:13" ht="13.5" x14ac:dyDescent="0.2">
      <c r="A70" s="9" t="s">
        <v>24</v>
      </c>
      <c r="B70" s="10">
        <v>0</v>
      </c>
      <c r="C70" s="10">
        <v>0</v>
      </c>
      <c r="D70" s="10"/>
      <c r="E70" s="10">
        <v>0</v>
      </c>
      <c r="F70" s="12">
        <v>0</v>
      </c>
      <c r="G70" s="10">
        <v>43212.38</v>
      </c>
      <c r="H70" s="10">
        <v>43212.38</v>
      </c>
      <c r="I70" s="10">
        <v>0</v>
      </c>
      <c r="J70" s="10">
        <v>0</v>
      </c>
      <c r="K70" s="10">
        <f t="shared" si="3"/>
        <v>43212.38</v>
      </c>
      <c r="L70" s="15"/>
      <c r="M70" s="16">
        <f t="shared" si="2"/>
        <v>0</v>
      </c>
    </row>
    <row r="71" spans="1:13" ht="13.5" x14ac:dyDescent="0.2">
      <c r="A71" s="9" t="s">
        <v>25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1625.34</v>
      </c>
      <c r="H71" s="10">
        <v>8443.23</v>
      </c>
      <c r="I71" s="10">
        <v>10845.58</v>
      </c>
      <c r="J71" s="10">
        <v>17663.47</v>
      </c>
      <c r="K71" s="10">
        <f t="shared" si="3"/>
        <v>1625.3399999999965</v>
      </c>
      <c r="L71" s="15"/>
      <c r="M71" s="16">
        <f t="shared" si="2"/>
        <v>-3.4106051316484809E-12</v>
      </c>
    </row>
    <row r="72" spans="1:13" ht="13.5" x14ac:dyDescent="0.2">
      <c r="A72" s="9" t="s">
        <v>26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20682.669999999998</v>
      </c>
      <c r="H72" s="10">
        <v>0</v>
      </c>
      <c r="I72" s="10">
        <v>20682.669999999998</v>
      </c>
      <c r="J72" s="10">
        <v>0</v>
      </c>
      <c r="K72" s="10">
        <f t="shared" si="3"/>
        <v>20682.669999999998</v>
      </c>
      <c r="L72" s="15"/>
      <c r="M72" s="16">
        <f t="shared" si="2"/>
        <v>0</v>
      </c>
    </row>
    <row r="73" spans="1:13" ht="13.5" x14ac:dyDescent="0.2">
      <c r="A73" s="9" t="s">
        <v>29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74081.95</v>
      </c>
      <c r="H73" s="10">
        <v>79147.360000000001</v>
      </c>
      <c r="I73" s="10">
        <v>0</v>
      </c>
      <c r="J73" s="10">
        <v>5065.41</v>
      </c>
      <c r="K73" s="10">
        <f t="shared" si="3"/>
        <v>74081.95</v>
      </c>
      <c r="L73" s="15"/>
      <c r="M73" s="16">
        <f t="shared" si="2"/>
        <v>0</v>
      </c>
    </row>
    <row r="74" spans="1:13" ht="13.5" x14ac:dyDescent="0.2">
      <c r="A74" s="9" t="s">
        <v>30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50395.07</v>
      </c>
      <c r="H74" s="10">
        <v>0</v>
      </c>
      <c r="I74" s="10">
        <v>0</v>
      </c>
      <c r="J74" s="10">
        <v>0</v>
      </c>
      <c r="K74" s="10">
        <f t="shared" si="3"/>
        <v>0</v>
      </c>
      <c r="L74" s="15"/>
      <c r="M74" s="16">
        <f t="shared" ref="M74:M87" si="6">+K74-G74</f>
        <v>-50395.07</v>
      </c>
    </row>
    <row r="75" spans="1:13" ht="13.5" x14ac:dyDescent="0.2">
      <c r="A75" s="9"/>
      <c r="B75" s="10">
        <v>0</v>
      </c>
      <c r="C75" s="10">
        <v>0</v>
      </c>
      <c r="D75" s="10"/>
      <c r="E75" s="10">
        <v>0</v>
      </c>
      <c r="F75" s="12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ref="K75:K83" si="7">H75+I75-J75</f>
        <v>0</v>
      </c>
      <c r="L75" s="15"/>
      <c r="M75" s="16">
        <f t="shared" si="6"/>
        <v>0</v>
      </c>
    </row>
    <row r="76" spans="1:13" ht="13.5" x14ac:dyDescent="0.2">
      <c r="A76" s="24" t="s">
        <v>40</v>
      </c>
      <c r="B76" s="25">
        <v>0</v>
      </c>
      <c r="C76" s="25">
        <v>0</v>
      </c>
      <c r="D76" s="25"/>
      <c r="E76" s="25">
        <v>0</v>
      </c>
      <c r="F76" s="26">
        <v>0</v>
      </c>
      <c r="G76" s="25">
        <v>191849.58000000002</v>
      </c>
      <c r="H76" s="25">
        <v>206107.62</v>
      </c>
      <c r="I76" s="25">
        <v>31528.25</v>
      </c>
      <c r="J76" s="25">
        <v>45786.290000000008</v>
      </c>
      <c r="K76" s="25">
        <f t="shared" si="7"/>
        <v>191849.58</v>
      </c>
      <c r="L76" s="27"/>
      <c r="M76" s="16">
        <f t="shared" si="6"/>
        <v>0</v>
      </c>
    </row>
    <row r="77" spans="1:13" ht="13.5" x14ac:dyDescent="0.2">
      <c r="A77" s="9" t="s">
        <v>36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12193</v>
      </c>
      <c r="H77" s="10">
        <v>13553.029999999999</v>
      </c>
      <c r="I77" s="10">
        <v>0</v>
      </c>
      <c r="J77" s="10">
        <v>1360.03</v>
      </c>
      <c r="K77" s="10">
        <f t="shared" si="7"/>
        <v>12192.999999999998</v>
      </c>
      <c r="L77" s="15"/>
      <c r="M77" s="16">
        <f t="shared" si="6"/>
        <v>0</v>
      </c>
    </row>
    <row r="78" spans="1:13" ht="13.5" x14ac:dyDescent="0.2">
      <c r="A78" s="9" t="s">
        <v>29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7163.64</v>
      </c>
      <c r="H78" s="10">
        <v>6216.71</v>
      </c>
      <c r="I78" s="10">
        <v>4500</v>
      </c>
      <c r="J78" s="10">
        <v>3553.0699999999997</v>
      </c>
      <c r="K78" s="10">
        <f t="shared" si="7"/>
        <v>7163.6399999999994</v>
      </c>
      <c r="L78" s="15"/>
      <c r="M78" s="16">
        <f t="shared" si="6"/>
        <v>0</v>
      </c>
    </row>
    <row r="79" spans="1:13" ht="13.5" x14ac:dyDescent="0.2">
      <c r="A79" s="9"/>
      <c r="B79" s="10">
        <v>0</v>
      </c>
      <c r="C79" s="10">
        <v>0</v>
      </c>
      <c r="D79" s="10"/>
      <c r="E79" s="10">
        <v>0</v>
      </c>
      <c r="F79" s="12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7"/>
        <v>0</v>
      </c>
      <c r="L79" s="15"/>
      <c r="M79" s="16">
        <f t="shared" si="6"/>
        <v>0</v>
      </c>
    </row>
    <row r="80" spans="1:13" ht="13.5" x14ac:dyDescent="0.2">
      <c r="A80" s="24" t="s">
        <v>41</v>
      </c>
      <c r="B80" s="25">
        <v>0</v>
      </c>
      <c r="C80" s="25">
        <v>0</v>
      </c>
      <c r="D80" s="25"/>
      <c r="E80" s="25">
        <v>0</v>
      </c>
      <c r="F80" s="26">
        <v>0</v>
      </c>
      <c r="G80" s="25">
        <v>19356.64</v>
      </c>
      <c r="H80" s="25">
        <v>19769.739999999998</v>
      </c>
      <c r="I80" s="25">
        <v>4500</v>
      </c>
      <c r="J80" s="25">
        <v>4913.0999999999995</v>
      </c>
      <c r="K80" s="25">
        <f t="shared" si="7"/>
        <v>19356.64</v>
      </c>
      <c r="L80" s="27"/>
      <c r="M80" s="16">
        <f t="shared" si="6"/>
        <v>0</v>
      </c>
    </row>
    <row r="81" spans="1:13" ht="13.5" x14ac:dyDescent="0.2">
      <c r="A81" s="9" t="s">
        <v>36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4081.54</v>
      </c>
      <c r="H81" s="10">
        <v>4081.54</v>
      </c>
      <c r="I81" s="10">
        <v>0</v>
      </c>
      <c r="J81" s="10">
        <v>0</v>
      </c>
      <c r="K81" s="10">
        <f t="shared" si="7"/>
        <v>4081.54</v>
      </c>
      <c r="L81" s="15"/>
      <c r="M81" s="16">
        <f t="shared" si="6"/>
        <v>0</v>
      </c>
    </row>
    <row r="82" spans="1:13" ht="13.5" x14ac:dyDescent="0.2">
      <c r="A82" s="9" t="s">
        <v>29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28063.68</v>
      </c>
      <c r="H82" s="10">
        <v>2763.68</v>
      </c>
      <c r="I82" s="10">
        <v>25300</v>
      </c>
      <c r="J82" s="10">
        <v>0</v>
      </c>
      <c r="K82" s="10">
        <f t="shared" si="7"/>
        <v>28063.68</v>
      </c>
      <c r="L82" s="15"/>
      <c r="M82" s="16">
        <f t="shared" si="6"/>
        <v>0</v>
      </c>
    </row>
    <row r="83" spans="1:13" ht="13.5" x14ac:dyDescent="0.2">
      <c r="A83" s="9"/>
      <c r="B83" s="10">
        <v>0</v>
      </c>
      <c r="C83" s="10">
        <v>0</v>
      </c>
      <c r="D83" s="10"/>
      <c r="E83" s="10">
        <v>0</v>
      </c>
      <c r="F83" s="12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7"/>
        <v>0</v>
      </c>
      <c r="L83" s="15"/>
      <c r="M83" s="16">
        <f t="shared" si="6"/>
        <v>0</v>
      </c>
    </row>
    <row r="84" spans="1:13" ht="13.5" x14ac:dyDescent="0.2">
      <c r="A84" s="24" t="s">
        <v>42</v>
      </c>
      <c r="B84" s="25">
        <v>0</v>
      </c>
      <c r="C84" s="25">
        <v>0</v>
      </c>
      <c r="D84" s="25"/>
      <c r="E84" s="25">
        <v>0</v>
      </c>
      <c r="F84" s="26">
        <v>0</v>
      </c>
      <c r="G84" s="25">
        <v>32145.22</v>
      </c>
      <c r="H84" s="25">
        <v>6845.2199999999993</v>
      </c>
      <c r="I84" s="25">
        <v>25300</v>
      </c>
      <c r="J84" s="25">
        <v>0</v>
      </c>
      <c r="K84" s="25">
        <f>H84+I84-J84</f>
        <v>32145.22</v>
      </c>
      <c r="L84" s="27"/>
      <c r="M84" s="16">
        <f t="shared" si="6"/>
        <v>0</v>
      </c>
    </row>
    <row r="85" spans="1:13" ht="13.5" x14ac:dyDescent="0.2">
      <c r="A85" s="9"/>
      <c r="B85" s="10">
        <v>0</v>
      </c>
      <c r="C85" s="10">
        <v>0</v>
      </c>
      <c r="D85" s="10"/>
      <c r="E85" s="10">
        <v>0</v>
      </c>
      <c r="F85" s="12">
        <v>0</v>
      </c>
      <c r="G85" s="10">
        <v>0</v>
      </c>
      <c r="H85" s="10">
        <v>0</v>
      </c>
      <c r="I85" s="10">
        <v>0</v>
      </c>
      <c r="J85" s="10">
        <v>0</v>
      </c>
      <c r="K85" s="10">
        <f>H85+I85-J85</f>
        <v>0</v>
      </c>
      <c r="L85" s="15"/>
      <c r="M85" s="16">
        <f t="shared" si="6"/>
        <v>0</v>
      </c>
    </row>
    <row r="86" spans="1:13" ht="27" x14ac:dyDescent="0.2">
      <c r="A86" s="24" t="s">
        <v>43</v>
      </c>
      <c r="B86" s="25">
        <v>0</v>
      </c>
      <c r="C86" s="25">
        <v>0</v>
      </c>
      <c r="D86" s="25"/>
      <c r="E86" s="25">
        <v>0</v>
      </c>
      <c r="F86" s="26">
        <v>0</v>
      </c>
      <c r="G86" s="25">
        <v>10879005.670000002</v>
      </c>
      <c r="H86" s="25">
        <v>11745328.699999999</v>
      </c>
      <c r="I86" s="25">
        <v>7435588.8399999999</v>
      </c>
      <c r="J86" s="25">
        <v>8301911.8699999982</v>
      </c>
      <c r="K86" s="25">
        <f>H86+I86-J86</f>
        <v>10879005.670000002</v>
      </c>
      <c r="L86" s="27"/>
      <c r="M86" s="16">
        <f t="shared" si="6"/>
        <v>0</v>
      </c>
    </row>
    <row r="87" spans="1:13" ht="13.5" x14ac:dyDescent="0.2">
      <c r="A87" s="9"/>
      <c r="B87" s="10">
        <v>0</v>
      </c>
      <c r="C87" s="10">
        <v>0</v>
      </c>
      <c r="D87" s="10"/>
      <c r="E87" s="10">
        <v>0</v>
      </c>
      <c r="F87" s="12">
        <v>0</v>
      </c>
      <c r="G87" s="10">
        <v>0</v>
      </c>
      <c r="H87" s="10">
        <v>0</v>
      </c>
      <c r="I87" s="10">
        <v>0</v>
      </c>
      <c r="J87" s="10">
        <v>0</v>
      </c>
      <c r="K87" s="10">
        <f>H87+I87-J87</f>
        <v>0</v>
      </c>
      <c r="L87" s="15"/>
      <c r="M87" s="16">
        <f t="shared" si="6"/>
        <v>0</v>
      </c>
    </row>
    <row r="88" spans="1:13" ht="13.5" x14ac:dyDescent="0.2">
      <c r="A88" s="24" t="s">
        <v>44</v>
      </c>
      <c r="B88" s="25">
        <v>89826931.689999998</v>
      </c>
      <c r="C88" s="25">
        <v>50641455.75</v>
      </c>
      <c r="D88" s="25"/>
      <c r="E88" s="25">
        <v>29577422.260000005</v>
      </c>
      <c r="F88" s="26">
        <v>0</v>
      </c>
      <c r="G88" s="25">
        <v>31943039.16</v>
      </c>
      <c r="H88" s="25">
        <f>+H27+H35+H48+H58+H68+H76+H80+H84+H86</f>
        <v>35339114.159999996</v>
      </c>
      <c r="I88" s="25">
        <v>8148728.5599999996</v>
      </c>
      <c r="J88" s="25">
        <v>9054983.8299999982</v>
      </c>
      <c r="K88" s="25">
        <f>H88+I88-J88</f>
        <v>34432858.890000001</v>
      </c>
      <c r="L88" s="27"/>
    </row>
    <row r="89" spans="1:13" ht="13.5" x14ac:dyDescent="0.25">
      <c r="A89" s="28"/>
      <c r="B89" s="29"/>
      <c r="C89" s="29"/>
      <c r="D89" s="29"/>
      <c r="E89" s="28"/>
      <c r="F89" s="28"/>
      <c r="G89" s="28"/>
      <c r="H89" s="28"/>
      <c r="I89" s="28"/>
      <c r="J89" s="28"/>
      <c r="K89" s="28"/>
      <c r="L89" s="30"/>
    </row>
    <row r="90" spans="1:13" x14ac:dyDescent="0.2">
      <c r="A90" s="19"/>
      <c r="B90" s="19"/>
      <c r="C90" s="333" t="s">
        <v>45</v>
      </c>
      <c r="D90" s="333"/>
      <c r="E90" s="333"/>
      <c r="F90" s="333"/>
      <c r="G90" s="333"/>
      <c r="H90" s="333"/>
      <c r="I90" s="333"/>
      <c r="J90" s="19"/>
      <c r="K90" s="19"/>
      <c r="L90" s="19"/>
    </row>
    <row r="91" spans="1:13" x14ac:dyDescent="0.2">
      <c r="A91" s="19"/>
      <c r="B91" s="19"/>
      <c r="C91" s="31"/>
      <c r="D91" s="31"/>
      <c r="E91" s="31"/>
      <c r="F91" s="31"/>
      <c r="G91" s="31"/>
      <c r="H91" s="31"/>
      <c r="I91" s="31"/>
      <c r="J91" s="19"/>
      <c r="K91" s="19"/>
      <c r="L91" s="19"/>
    </row>
    <row r="92" spans="1:13" ht="13.5" x14ac:dyDescent="0.25">
      <c r="A92" s="19"/>
      <c r="B92" s="325" t="s">
        <v>46</v>
      </c>
      <c r="C92" s="325"/>
      <c r="D92" s="326" t="s">
        <v>47</v>
      </c>
      <c r="E92" s="327"/>
      <c r="F92" s="328"/>
      <c r="G92" s="320" t="s">
        <v>48</v>
      </c>
      <c r="H92" s="320"/>
      <c r="I92" s="32" t="s">
        <v>10</v>
      </c>
      <c r="J92" s="19"/>
      <c r="K92" s="19"/>
      <c r="L92" s="19"/>
    </row>
    <row r="93" spans="1:13" ht="13.5" x14ac:dyDescent="0.25">
      <c r="A93" s="19"/>
      <c r="B93" s="329" t="s">
        <v>49</v>
      </c>
      <c r="C93" s="329"/>
      <c r="D93" s="330">
        <v>8135543</v>
      </c>
      <c r="E93" s="331"/>
      <c r="F93" s="332">
        <v>0</v>
      </c>
      <c r="G93" s="330">
        <v>7893704.2000000002</v>
      </c>
      <c r="H93" s="332"/>
      <c r="I93" s="33">
        <f>G93/D93</f>
        <v>0.97027379733596153</v>
      </c>
      <c r="J93" s="19"/>
      <c r="K93" s="19"/>
      <c r="L93" s="19"/>
    </row>
    <row r="94" spans="1:13" ht="13.5" x14ac:dyDescent="0.25">
      <c r="A94" s="19"/>
      <c r="B94" s="320"/>
      <c r="C94" s="320"/>
      <c r="D94" s="321"/>
      <c r="E94" s="322"/>
      <c r="F94" s="323"/>
      <c r="G94" s="324"/>
      <c r="H94" s="324"/>
      <c r="I94" s="34"/>
      <c r="J94" s="19"/>
      <c r="K94" s="19"/>
      <c r="L94" s="19"/>
    </row>
    <row r="95" spans="1:13" ht="13.5" x14ac:dyDescent="0.25">
      <c r="A95" s="19"/>
      <c r="B95" s="320"/>
      <c r="C95" s="320"/>
      <c r="D95" s="321"/>
      <c r="E95" s="322"/>
      <c r="F95" s="323"/>
      <c r="G95" s="324"/>
      <c r="H95" s="324"/>
      <c r="I95" s="34"/>
      <c r="J95" s="19"/>
      <c r="K95" s="19"/>
      <c r="L95" s="19"/>
    </row>
    <row r="96" spans="1:13" ht="13.5" x14ac:dyDescent="0.25">
      <c r="A96" s="19"/>
      <c r="B96" s="320"/>
      <c r="C96" s="320"/>
      <c r="D96" s="321"/>
      <c r="E96" s="322"/>
      <c r="F96" s="323"/>
      <c r="G96" s="324"/>
      <c r="H96" s="324"/>
      <c r="I96" s="34"/>
      <c r="J96" s="19"/>
      <c r="K96" s="19"/>
      <c r="L96" s="19"/>
    </row>
    <row r="97" spans="1:12" ht="13.5" x14ac:dyDescent="0.25">
      <c r="A97" s="35" t="s">
        <v>50</v>
      </c>
      <c r="B97" s="36"/>
      <c r="C97" s="36"/>
      <c r="D97" s="36"/>
      <c r="E97" s="36"/>
      <c r="F97" s="36"/>
      <c r="G97" s="37"/>
      <c r="H97" s="37"/>
      <c r="I97" s="38"/>
      <c r="J97" s="19"/>
      <c r="K97" s="19"/>
      <c r="L97" s="19"/>
    </row>
  </sheetData>
  <mergeCells count="31">
    <mergeCell ref="C90:I90"/>
    <mergeCell ref="A1:L1"/>
    <mergeCell ref="A3:L3"/>
    <mergeCell ref="C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92:C92"/>
    <mergeCell ref="D92:F92"/>
    <mergeCell ref="G92:H92"/>
    <mergeCell ref="B93:C93"/>
    <mergeCell ref="D93:F93"/>
    <mergeCell ref="G93:H93"/>
    <mergeCell ref="B96:C96"/>
    <mergeCell ref="D96:F96"/>
    <mergeCell ref="G96:H96"/>
    <mergeCell ref="B94:C94"/>
    <mergeCell ref="D94:F94"/>
    <mergeCell ref="G94:H94"/>
    <mergeCell ref="B95:C95"/>
    <mergeCell ref="D95:F95"/>
    <mergeCell ref="G95:H9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O109"/>
  <sheetViews>
    <sheetView topLeftCell="A4" zoomScale="120" zoomScaleNormal="120" workbookViewId="0">
      <pane ySplit="5" topLeftCell="A9" activePane="bottomLeft" state="frozen"/>
      <selection activeCell="A4" sqref="A4"/>
      <selection pane="bottomLeft" activeCell="I9" sqref="I9"/>
    </sheetView>
  </sheetViews>
  <sheetFormatPr baseColWidth="10" defaultColWidth="16.5703125" defaultRowHeight="18" x14ac:dyDescent="0.25"/>
  <cols>
    <col min="1" max="1" width="16.5703125" style="1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16.5703125" style="60"/>
    <col min="14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4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x14ac:dyDescent="0.25">
      <c r="A4" s="3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4" x14ac:dyDescent="0.25">
      <c r="A5" s="3" t="s">
        <v>2</v>
      </c>
      <c r="B5" s="5"/>
      <c r="C5" s="5"/>
      <c r="D5" s="5"/>
      <c r="E5" s="6"/>
      <c r="F5" s="6"/>
      <c r="G5" s="6"/>
    </row>
    <row r="6" spans="1:14" x14ac:dyDescent="0.25">
      <c r="C6" s="335" t="s">
        <v>3</v>
      </c>
      <c r="D6" s="335"/>
      <c r="E6" s="336"/>
      <c r="F6" s="336"/>
      <c r="G6" s="336"/>
      <c r="H6" s="335" t="s">
        <v>4</v>
      </c>
      <c r="I6" s="335"/>
      <c r="J6" s="335"/>
      <c r="K6" s="335"/>
    </row>
    <row r="7" spans="1:14" x14ac:dyDescent="0.25">
      <c r="A7" s="337" t="s">
        <v>5</v>
      </c>
      <c r="B7" s="339" t="s">
        <v>6</v>
      </c>
      <c r="C7" s="339" t="s">
        <v>7</v>
      </c>
      <c r="D7" s="339" t="s">
        <v>8</v>
      </c>
      <c r="E7" s="340" t="s">
        <v>9</v>
      </c>
      <c r="F7" s="340" t="s">
        <v>10</v>
      </c>
      <c r="G7" s="337" t="s">
        <v>11</v>
      </c>
      <c r="H7" s="340" t="s">
        <v>12</v>
      </c>
      <c r="I7" s="340" t="s">
        <v>13</v>
      </c>
      <c r="J7" s="340" t="s">
        <v>14</v>
      </c>
      <c r="K7" s="340" t="s">
        <v>15</v>
      </c>
      <c r="L7" s="68" t="s">
        <v>16</v>
      </c>
    </row>
    <row r="8" spans="1:14" ht="32.25" customHeight="1" x14ac:dyDescent="0.25">
      <c r="A8" s="338"/>
      <c r="B8" s="339"/>
      <c r="C8" s="339"/>
      <c r="D8" s="339"/>
      <c r="E8" s="340"/>
      <c r="F8" s="340"/>
      <c r="G8" s="338"/>
      <c r="H8" s="340"/>
      <c r="I8" s="340"/>
      <c r="J8" s="340"/>
      <c r="K8" s="340"/>
      <c r="L8" s="8" t="s">
        <v>17</v>
      </c>
    </row>
    <row r="9" spans="1:14" s="17" customFormat="1" x14ac:dyDescent="0.25">
      <c r="A9" s="9" t="s">
        <v>18</v>
      </c>
      <c r="B9" s="10">
        <v>10284399.08</v>
      </c>
      <c r="C9" s="10">
        <v>6313817.8399999999</v>
      </c>
      <c r="D9" s="11">
        <v>0</v>
      </c>
      <c r="E9" s="78">
        <v>4398323</v>
      </c>
      <c r="F9" s="12">
        <f>+E9/C9</f>
        <v>0.69661860881307913</v>
      </c>
      <c r="G9" s="10">
        <f t="shared" ref="G9:G20" si="0">+C9+D9-E9</f>
        <v>1915494.8399999999</v>
      </c>
      <c r="H9" s="13">
        <f>1615687.21+54164.15</f>
        <v>1669851.3599999999</v>
      </c>
      <c r="I9" s="14">
        <f>228067+26800+10000+17400</f>
        <v>282267</v>
      </c>
      <c r="J9" s="14">
        <f>6225+1095.14+1168.15+28135.23</f>
        <v>36623.520000000004</v>
      </c>
      <c r="K9" s="14">
        <f>H9+I9-J9</f>
        <v>1915494.8399999999</v>
      </c>
      <c r="L9" s="15">
        <f>+F9</f>
        <v>0.69661860881307913</v>
      </c>
      <c r="M9" s="71">
        <f>+K9-G9</f>
        <v>0</v>
      </c>
      <c r="N9" s="87"/>
    </row>
    <row r="10" spans="1:14" x14ac:dyDescent="0.2">
      <c r="A10" s="9" t="s">
        <v>20</v>
      </c>
      <c r="B10" s="10">
        <v>25204741</v>
      </c>
      <c r="C10" s="10">
        <v>10106556</v>
      </c>
      <c r="D10" s="11">
        <v>0</v>
      </c>
      <c r="E10" s="78">
        <v>11006885.18</v>
      </c>
      <c r="F10" s="12">
        <f t="shared" ref="F10:F15" si="1">+E10/C10</f>
        <v>1.0890836779611175</v>
      </c>
      <c r="G10" s="10">
        <f t="shared" si="0"/>
        <v>-900329.1799999997</v>
      </c>
      <c r="H10" s="13">
        <f>70563.59-405344</f>
        <v>-334780.41000000003</v>
      </c>
      <c r="I10" s="14">
        <f>201152.37+4000</f>
        <v>205152.37</v>
      </c>
      <c r="J10" s="14">
        <f>245720+4879.53+8932.1+511169.51</f>
        <v>770701.14</v>
      </c>
      <c r="K10" s="14">
        <f t="shared" ref="K10:K17" si="2">H10+I10-J10</f>
        <v>-900329.18</v>
      </c>
      <c r="L10" s="15">
        <f t="shared" ref="L10:L20" si="3">+F10</f>
        <v>1.0890836779611175</v>
      </c>
      <c r="M10" s="71">
        <f>+K10-G10</f>
        <v>0</v>
      </c>
      <c r="N10" s="72"/>
    </row>
    <row r="11" spans="1:14" x14ac:dyDescent="0.2">
      <c r="A11" s="9" t="s">
        <v>21</v>
      </c>
      <c r="B11" s="10"/>
      <c r="C11" s="10">
        <v>92886</v>
      </c>
      <c r="D11" s="11">
        <v>0</v>
      </c>
      <c r="E11" s="80">
        <v>0</v>
      </c>
      <c r="F11" s="12">
        <f t="shared" si="1"/>
        <v>0</v>
      </c>
      <c r="G11" s="10">
        <f t="shared" si="0"/>
        <v>92886</v>
      </c>
      <c r="H11" s="13">
        <v>93886</v>
      </c>
      <c r="I11" s="14">
        <v>0</v>
      </c>
      <c r="J11" s="14">
        <v>1000</v>
      </c>
      <c r="K11" s="14">
        <f t="shared" si="2"/>
        <v>92886</v>
      </c>
      <c r="L11" s="15">
        <f t="shared" si="3"/>
        <v>0</v>
      </c>
      <c r="M11" s="71">
        <f>+K11-G11</f>
        <v>0</v>
      </c>
      <c r="N11" s="82"/>
    </row>
    <row r="12" spans="1:14" x14ac:dyDescent="0.2">
      <c r="A12" s="9" t="s">
        <v>22</v>
      </c>
      <c r="B12" s="10"/>
      <c r="C12" s="10">
        <v>194334</v>
      </c>
      <c r="D12" s="11">
        <v>0</v>
      </c>
      <c r="E12" s="79">
        <v>0</v>
      </c>
      <c r="F12" s="12">
        <f t="shared" si="1"/>
        <v>0</v>
      </c>
      <c r="G12" s="10">
        <f t="shared" si="0"/>
        <v>194334</v>
      </c>
      <c r="H12" s="13">
        <v>195334</v>
      </c>
      <c r="I12" s="14"/>
      <c r="J12" s="14">
        <v>1000</v>
      </c>
      <c r="K12" s="14">
        <f t="shared" si="2"/>
        <v>194334</v>
      </c>
      <c r="L12" s="15">
        <f t="shared" si="3"/>
        <v>0</v>
      </c>
      <c r="M12" s="71">
        <f>+K12-G12</f>
        <v>0</v>
      </c>
      <c r="N12" s="82"/>
    </row>
    <row r="13" spans="1:14" x14ac:dyDescent="0.2">
      <c r="A13" s="9" t="s">
        <v>23</v>
      </c>
      <c r="B13" s="10"/>
      <c r="C13" s="10">
        <v>641691.98</v>
      </c>
      <c r="D13" s="11">
        <v>0</v>
      </c>
      <c r="E13" s="79">
        <v>0</v>
      </c>
      <c r="F13" s="12">
        <f t="shared" si="1"/>
        <v>0</v>
      </c>
      <c r="G13" s="10">
        <f t="shared" si="0"/>
        <v>641691.98</v>
      </c>
      <c r="H13" s="13">
        <v>642691.98</v>
      </c>
      <c r="I13" s="14"/>
      <c r="J13" s="14">
        <v>1000</v>
      </c>
      <c r="K13" s="14">
        <f t="shared" si="2"/>
        <v>641691.98</v>
      </c>
      <c r="L13" s="15">
        <f t="shared" si="3"/>
        <v>0</v>
      </c>
      <c r="M13" s="71">
        <f t="shared" ref="M13:M19" si="4">+K13-G13</f>
        <v>0</v>
      </c>
      <c r="N13" s="82"/>
    </row>
    <row r="14" spans="1:14" x14ac:dyDescent="0.2">
      <c r="A14" s="9" t="s">
        <v>24</v>
      </c>
      <c r="B14" s="10">
        <v>12977087</v>
      </c>
      <c r="C14" s="10">
        <v>7001413.1600000001</v>
      </c>
      <c r="D14" s="11">
        <v>0</v>
      </c>
      <c r="E14" s="78">
        <v>6603730.8899999997</v>
      </c>
      <c r="F14" s="12">
        <f t="shared" si="1"/>
        <v>0.9431997139845979</v>
      </c>
      <c r="G14" s="10">
        <f t="shared" si="0"/>
        <v>397682.27000000048</v>
      </c>
      <c r="H14" s="13">
        <v>744429.11</v>
      </c>
      <c r="I14" s="14">
        <f>1553</f>
        <v>1553</v>
      </c>
      <c r="J14" s="14">
        <f>53144+295163</f>
        <v>348307</v>
      </c>
      <c r="K14" s="14">
        <f t="shared" si="2"/>
        <v>397675.11</v>
      </c>
      <c r="L14" s="15">
        <f t="shared" si="3"/>
        <v>0.9431997139845979</v>
      </c>
      <c r="M14" s="61">
        <f t="shared" si="4"/>
        <v>-7.1600000004982576</v>
      </c>
      <c r="N14" s="81"/>
    </row>
    <row r="15" spans="1:14" x14ac:dyDescent="0.2">
      <c r="A15" s="9" t="s">
        <v>25</v>
      </c>
      <c r="B15" s="10"/>
      <c r="C15" s="10">
        <v>255735</v>
      </c>
      <c r="D15" s="11">
        <v>0</v>
      </c>
      <c r="E15" s="78">
        <v>9717.48</v>
      </c>
      <c r="F15" s="12">
        <f t="shared" si="1"/>
        <v>3.7998240366003869E-2</v>
      </c>
      <c r="G15" s="10">
        <f t="shared" si="0"/>
        <v>246017.52</v>
      </c>
      <c r="H15" s="13">
        <v>247017.52</v>
      </c>
      <c r="I15" s="14">
        <v>0</v>
      </c>
      <c r="J15" s="14">
        <v>1000</v>
      </c>
      <c r="K15" s="14">
        <f t="shared" si="2"/>
        <v>246017.52</v>
      </c>
      <c r="L15" s="15">
        <f t="shared" si="3"/>
        <v>3.7998240366003869E-2</v>
      </c>
      <c r="M15" s="71">
        <f t="shared" si="4"/>
        <v>0</v>
      </c>
      <c r="N15" s="82"/>
    </row>
    <row r="16" spans="1:14" x14ac:dyDescent="0.2">
      <c r="A16" s="9" t="s">
        <v>53</v>
      </c>
      <c r="B16" s="10"/>
      <c r="C16" s="11">
        <v>0</v>
      </c>
      <c r="D16" s="11"/>
      <c r="E16" s="79">
        <v>0</v>
      </c>
      <c r="F16" s="12">
        <v>0</v>
      </c>
      <c r="G16" s="14">
        <f t="shared" si="0"/>
        <v>0</v>
      </c>
      <c r="H16" s="11">
        <v>0</v>
      </c>
      <c r="I16" s="14">
        <v>0</v>
      </c>
      <c r="J16" s="14">
        <v>0</v>
      </c>
      <c r="K16" s="14">
        <f t="shared" si="2"/>
        <v>0</v>
      </c>
      <c r="L16" s="15">
        <f t="shared" si="3"/>
        <v>0</v>
      </c>
      <c r="M16" s="83">
        <f t="shared" si="4"/>
        <v>0</v>
      </c>
      <c r="N16" s="82"/>
    </row>
    <row r="17" spans="1:15" x14ac:dyDescent="0.2">
      <c r="A17" s="9" t="s">
        <v>27</v>
      </c>
      <c r="B17" s="10"/>
      <c r="C17" s="11">
        <v>0</v>
      </c>
      <c r="D17" s="11">
        <v>0</v>
      </c>
      <c r="E17" s="80">
        <v>0</v>
      </c>
      <c r="F17" s="12">
        <v>0</v>
      </c>
      <c r="G17" s="14">
        <f t="shared" si="0"/>
        <v>0</v>
      </c>
      <c r="H17" s="11"/>
      <c r="I17" s="14">
        <v>0</v>
      </c>
      <c r="J17" s="14">
        <v>0</v>
      </c>
      <c r="K17" s="14">
        <f t="shared" si="2"/>
        <v>0</v>
      </c>
      <c r="L17" s="15">
        <f t="shared" si="3"/>
        <v>0</v>
      </c>
      <c r="M17" s="83">
        <f t="shared" si="4"/>
        <v>0</v>
      </c>
      <c r="N17" s="84"/>
    </row>
    <row r="18" spans="1:15" x14ac:dyDescent="0.2">
      <c r="A18" s="9" t="s">
        <v>28</v>
      </c>
      <c r="B18" s="10"/>
      <c r="C18" s="11">
        <v>23886.12</v>
      </c>
      <c r="D18" s="11"/>
      <c r="E18" s="79">
        <v>0</v>
      </c>
      <c r="F18" s="12">
        <v>0</v>
      </c>
      <c r="G18" s="14">
        <f t="shared" si="0"/>
        <v>23886.12</v>
      </c>
      <c r="H18" s="11">
        <v>24886.12</v>
      </c>
      <c r="I18" s="14">
        <v>0</v>
      </c>
      <c r="J18" s="14">
        <v>1000</v>
      </c>
      <c r="K18" s="14">
        <f>H18+I18-J18</f>
        <v>23886.12</v>
      </c>
      <c r="L18" s="15">
        <f t="shared" si="3"/>
        <v>0</v>
      </c>
      <c r="M18" s="71">
        <f t="shared" si="4"/>
        <v>0</v>
      </c>
      <c r="N18" s="72"/>
    </row>
    <row r="19" spans="1:15" x14ac:dyDescent="0.2">
      <c r="A19" s="9" t="s">
        <v>29</v>
      </c>
      <c r="B19" s="10"/>
      <c r="C19" s="10">
        <v>19581911</v>
      </c>
      <c r="D19" s="11">
        <v>0</v>
      </c>
      <c r="E19" s="80">
        <v>0</v>
      </c>
      <c r="F19" s="12">
        <f>+E19/C19</f>
        <v>0</v>
      </c>
      <c r="G19" s="10">
        <f t="shared" si="0"/>
        <v>19581911</v>
      </c>
      <c r="H19" s="13">
        <f>11195092+8392819</f>
        <v>19587911</v>
      </c>
      <c r="I19" s="14">
        <v>0</v>
      </c>
      <c r="J19" s="14">
        <v>6000</v>
      </c>
      <c r="K19" s="14">
        <f>H19+I19-J19</f>
        <v>19581911</v>
      </c>
      <c r="L19" s="15">
        <f t="shared" si="3"/>
        <v>0</v>
      </c>
      <c r="M19" s="71">
        <f t="shared" si="4"/>
        <v>0</v>
      </c>
      <c r="N19" s="72"/>
      <c r="O19" s="18"/>
    </row>
    <row r="20" spans="1:15" x14ac:dyDescent="0.2">
      <c r="A20" s="9" t="s">
        <v>30</v>
      </c>
      <c r="B20" s="10">
        <v>19272339</v>
      </c>
      <c r="C20" s="10">
        <v>10585488</v>
      </c>
      <c r="D20" s="11">
        <v>0</v>
      </c>
      <c r="E20" s="78">
        <v>8342921.5499999998</v>
      </c>
      <c r="F20" s="12">
        <f>+E20/C20</f>
        <v>0.78814708873128947</v>
      </c>
      <c r="G20" s="10">
        <f t="shared" si="0"/>
        <v>2242566.4500000002</v>
      </c>
      <c r="H20" s="13">
        <v>1466895.45</v>
      </c>
      <c r="I20" s="14">
        <f>798806+15500</f>
        <v>814306</v>
      </c>
      <c r="J20" s="14">
        <f>17631+21004</f>
        <v>38635</v>
      </c>
      <c r="K20" s="14">
        <f>H20+I20-J20</f>
        <v>2242566.4500000002</v>
      </c>
      <c r="L20" s="15">
        <f t="shared" si="3"/>
        <v>0.78814708873128947</v>
      </c>
      <c r="M20" s="85">
        <f>+K20-G20</f>
        <v>0</v>
      </c>
      <c r="N20" s="86"/>
      <c r="O20" s="18"/>
    </row>
    <row r="21" spans="1:15" s="5" customFormat="1" x14ac:dyDescent="0.2">
      <c r="A21" s="20" t="s">
        <v>51</v>
      </c>
      <c r="B21" s="21">
        <f>SUM(B9:B20)</f>
        <v>67738566.079999998</v>
      </c>
      <c r="C21" s="21">
        <f>SUM(C9:C20)</f>
        <v>54797719.100000001</v>
      </c>
      <c r="D21" s="21">
        <f>SUM(D9:D20)</f>
        <v>0</v>
      </c>
      <c r="E21" s="21">
        <f>SUM(E9:E20)</f>
        <v>30361578.100000001</v>
      </c>
      <c r="F21" s="21">
        <f t="shared" ref="F21:K21" si="5">SUM(F9:F20)</f>
        <v>3.5550473298560878</v>
      </c>
      <c r="G21" s="21">
        <f t="shared" si="5"/>
        <v>24436141</v>
      </c>
      <c r="H21" s="21">
        <f t="shared" si="5"/>
        <v>24338122.129999999</v>
      </c>
      <c r="I21" s="21">
        <f t="shared" si="5"/>
        <v>1303278.3700000001</v>
      </c>
      <c r="J21" s="21">
        <f t="shared" si="5"/>
        <v>1205266.6600000001</v>
      </c>
      <c r="K21" s="21">
        <f t="shared" si="5"/>
        <v>24436133.84</v>
      </c>
      <c r="L21" s="23"/>
      <c r="M21" s="62">
        <f>+K21-G21</f>
        <v>-7.1600000001490116</v>
      </c>
    </row>
    <row r="22" spans="1:15" s="17" customFormat="1" x14ac:dyDescent="0.25">
      <c r="A22" s="9" t="s">
        <v>18</v>
      </c>
      <c r="B22" s="10">
        <v>9497181.3399999999</v>
      </c>
      <c r="C22" s="10">
        <f>9497181.34-8522902.7</f>
        <v>974278.6400000006</v>
      </c>
      <c r="D22" s="11">
        <v>0</v>
      </c>
      <c r="E22" s="10">
        <v>0</v>
      </c>
      <c r="F22" s="12">
        <f>+E22/C22</f>
        <v>0</v>
      </c>
      <c r="G22" s="10">
        <f>+C22+D22-E22</f>
        <v>974278.6400000006</v>
      </c>
      <c r="H22" s="13">
        <f>781984.35-0.47</f>
        <v>781983.88</v>
      </c>
      <c r="I22" s="14">
        <f>22013.2+172259.48</f>
        <v>194272.68000000002</v>
      </c>
      <c r="J22" s="14">
        <f>-4302.52+6280.44</f>
        <v>1977.9199999999992</v>
      </c>
      <c r="K22" s="14">
        <f>H22+I22-J22</f>
        <v>974278.64</v>
      </c>
      <c r="L22" s="15">
        <f>+F22</f>
        <v>0</v>
      </c>
      <c r="M22" s="65">
        <f t="shared" ref="M22:M33" si="6">+K22-G22</f>
        <v>0</v>
      </c>
    </row>
    <row r="23" spans="1:15" x14ac:dyDescent="0.2">
      <c r="A23" s="9" t="s">
        <v>20</v>
      </c>
      <c r="B23" s="10">
        <v>28461059.77</v>
      </c>
      <c r="C23" s="10">
        <f>+B23</f>
        <v>28461059.77</v>
      </c>
      <c r="D23" s="11">
        <v>0</v>
      </c>
      <c r="E23" s="10">
        <v>27479996.23</v>
      </c>
      <c r="F23" s="12">
        <f t="shared" ref="F23:F35" si="7">+E23/C23</f>
        <v>0.96552962019235455</v>
      </c>
      <c r="G23" s="10">
        <f>+C23+D23-E23</f>
        <v>981063.53999999911</v>
      </c>
      <c r="H23" s="13">
        <f>170500+1827605.1</f>
        <v>1998105.1</v>
      </c>
      <c r="I23" s="14">
        <v>0</v>
      </c>
      <c r="J23" s="14">
        <f>854134.16+162187.53+719.87</f>
        <v>1017041.56</v>
      </c>
      <c r="K23" s="14">
        <f t="shared" ref="K23:K86" si="8">H23+I23-J23</f>
        <v>981063.54</v>
      </c>
      <c r="L23" s="15">
        <f t="shared" ref="L23:L38" si="9">+F23</f>
        <v>0.96552962019235455</v>
      </c>
      <c r="M23" s="65">
        <f t="shared" si="6"/>
        <v>9.3132257461547852E-10</v>
      </c>
      <c r="N23" s="18"/>
    </row>
    <row r="24" spans="1:15" x14ac:dyDescent="0.2">
      <c r="A24" s="9" t="s">
        <v>21</v>
      </c>
      <c r="B24" s="10">
        <v>266576.99</v>
      </c>
      <c r="C24" s="10">
        <v>266576.99</v>
      </c>
      <c r="D24" s="11">
        <v>0</v>
      </c>
      <c r="E24" s="10">
        <v>80893</v>
      </c>
      <c r="F24" s="12">
        <f t="shared" si="7"/>
        <v>0.30345079670979858</v>
      </c>
      <c r="G24" s="10">
        <f>+C24+D24-E24</f>
        <v>185683.99</v>
      </c>
      <c r="H24" s="13">
        <v>185683.99</v>
      </c>
      <c r="I24" s="14">
        <v>0</v>
      </c>
      <c r="J24" s="14">
        <v>0</v>
      </c>
      <c r="K24" s="14">
        <f t="shared" si="8"/>
        <v>185683.99</v>
      </c>
      <c r="L24" s="15">
        <f t="shared" si="9"/>
        <v>0.30345079670979858</v>
      </c>
      <c r="M24" s="65">
        <f t="shared" si="6"/>
        <v>0</v>
      </c>
    </row>
    <row r="25" spans="1:15" x14ac:dyDescent="0.2">
      <c r="A25" s="9" t="s">
        <v>22</v>
      </c>
      <c r="B25" s="10">
        <v>757786.85</v>
      </c>
      <c r="C25" s="10">
        <v>757786.85</v>
      </c>
      <c r="D25" s="10">
        <v>149.51</v>
      </c>
      <c r="E25" s="10">
        <v>201977</v>
      </c>
      <c r="F25" s="12">
        <f t="shared" si="7"/>
        <v>0.26653537205086103</v>
      </c>
      <c r="G25" s="10">
        <f t="shared" ref="G25:G33" si="10">+C25+D25-E25</f>
        <v>555959.36</v>
      </c>
      <c r="H25" s="13">
        <v>555959.36</v>
      </c>
      <c r="I25" s="14">
        <v>0</v>
      </c>
      <c r="J25" s="14">
        <v>0</v>
      </c>
      <c r="K25" s="14">
        <f t="shared" si="8"/>
        <v>555959.36</v>
      </c>
      <c r="L25" s="15">
        <f t="shared" si="9"/>
        <v>0.26653537205086103</v>
      </c>
      <c r="M25" s="65">
        <f t="shared" si="6"/>
        <v>0</v>
      </c>
    </row>
    <row r="26" spans="1:15" x14ac:dyDescent="0.2">
      <c r="A26" s="9" t="s">
        <v>23</v>
      </c>
      <c r="B26" s="10">
        <v>919872.2</v>
      </c>
      <c r="C26" s="10">
        <v>919872.2</v>
      </c>
      <c r="D26" s="10">
        <v>408.58</v>
      </c>
      <c r="E26" s="10">
        <v>788192.61</v>
      </c>
      <c r="F26" s="12">
        <f t="shared" si="7"/>
        <v>0.85685012548482287</v>
      </c>
      <c r="G26" s="10">
        <f t="shared" si="10"/>
        <v>132088.16999999993</v>
      </c>
      <c r="H26" s="13">
        <v>132088.17000000001</v>
      </c>
      <c r="I26" s="14">
        <v>0</v>
      </c>
      <c r="J26" s="14">
        <v>0</v>
      </c>
      <c r="K26" s="14">
        <f t="shared" si="8"/>
        <v>132088.17000000001</v>
      </c>
      <c r="L26" s="15">
        <f t="shared" si="9"/>
        <v>0.85685012548482287</v>
      </c>
      <c r="M26" s="65">
        <f t="shared" si="6"/>
        <v>0</v>
      </c>
    </row>
    <row r="27" spans="1:15" x14ac:dyDescent="0.2">
      <c r="A27" s="9" t="s">
        <v>24</v>
      </c>
      <c r="B27" s="10">
        <v>0</v>
      </c>
      <c r="C27" s="10">
        <f>423848.18-12271.75</f>
        <v>411576.43</v>
      </c>
      <c r="D27" s="11">
        <v>0</v>
      </c>
      <c r="E27" s="10">
        <v>0</v>
      </c>
      <c r="F27" s="12">
        <f t="shared" si="7"/>
        <v>0</v>
      </c>
      <c r="G27" s="10">
        <f>+C27+D27-E27</f>
        <v>411576.43</v>
      </c>
      <c r="H27" s="13">
        <v>35740.22</v>
      </c>
      <c r="I27" s="14">
        <v>457357</v>
      </c>
      <c r="J27" s="14">
        <f>52394.42+7312.79+22272.58</f>
        <v>81979.790000000008</v>
      </c>
      <c r="K27" s="14">
        <f t="shared" si="8"/>
        <v>411117.42999999993</v>
      </c>
      <c r="L27" s="15">
        <f t="shared" si="9"/>
        <v>0</v>
      </c>
      <c r="M27" s="61">
        <f t="shared" si="6"/>
        <v>-459.00000000005821</v>
      </c>
    </row>
    <row r="28" spans="1:15" x14ac:dyDescent="0.2">
      <c r="A28" s="9" t="s">
        <v>25</v>
      </c>
      <c r="B28" s="10">
        <v>868753.03</v>
      </c>
      <c r="C28" s="10">
        <v>868753.03</v>
      </c>
      <c r="D28" s="10">
        <v>131.31</v>
      </c>
      <c r="E28" s="10">
        <v>542712.97</v>
      </c>
      <c r="F28" s="12">
        <f t="shared" si="7"/>
        <v>0.624703398156781</v>
      </c>
      <c r="G28" s="10">
        <f t="shared" si="10"/>
        <v>326171.37000000011</v>
      </c>
      <c r="H28" s="13">
        <v>326171.37</v>
      </c>
      <c r="I28" s="14">
        <v>0</v>
      </c>
      <c r="J28" s="14">
        <v>0</v>
      </c>
      <c r="K28" s="14">
        <f t="shared" si="8"/>
        <v>326171.37</v>
      </c>
      <c r="L28" s="15">
        <f t="shared" si="9"/>
        <v>0.624703398156781</v>
      </c>
      <c r="M28" s="65">
        <f t="shared" si="6"/>
        <v>0</v>
      </c>
    </row>
    <row r="29" spans="1:15" x14ac:dyDescent="0.2">
      <c r="A29" s="9" t="s">
        <v>26</v>
      </c>
      <c r="B29" s="10">
        <v>0</v>
      </c>
      <c r="C29" s="10">
        <v>0</v>
      </c>
      <c r="D29" s="11">
        <v>0</v>
      </c>
      <c r="E29" s="10">
        <v>0</v>
      </c>
      <c r="F29" s="12">
        <v>0</v>
      </c>
      <c r="G29" s="14">
        <f t="shared" si="10"/>
        <v>0</v>
      </c>
      <c r="H29" s="11">
        <v>0</v>
      </c>
      <c r="I29" s="14">
        <v>0</v>
      </c>
      <c r="J29" s="14">
        <v>0</v>
      </c>
      <c r="K29" s="14">
        <f t="shared" si="8"/>
        <v>0</v>
      </c>
      <c r="L29" s="15">
        <f t="shared" si="9"/>
        <v>0</v>
      </c>
      <c r="M29" s="65">
        <f t="shared" si="6"/>
        <v>0</v>
      </c>
    </row>
    <row r="30" spans="1:15" x14ac:dyDescent="0.2">
      <c r="A30" s="9" t="s">
        <v>27</v>
      </c>
      <c r="B30" s="10">
        <v>0</v>
      </c>
      <c r="C30" s="10">
        <v>0</v>
      </c>
      <c r="D30" s="11">
        <v>0</v>
      </c>
      <c r="E30" s="10">
        <v>0</v>
      </c>
      <c r="F30" s="12">
        <v>0</v>
      </c>
      <c r="G30" s="14">
        <f t="shared" si="10"/>
        <v>0</v>
      </c>
      <c r="H30" s="11">
        <v>0</v>
      </c>
      <c r="I30" s="14">
        <v>0</v>
      </c>
      <c r="J30" s="14">
        <v>0</v>
      </c>
      <c r="K30" s="14">
        <f t="shared" si="8"/>
        <v>0</v>
      </c>
      <c r="L30" s="15">
        <f t="shared" si="9"/>
        <v>0</v>
      </c>
      <c r="M30" s="65">
        <f t="shared" si="6"/>
        <v>0</v>
      </c>
    </row>
    <row r="31" spans="1:15" x14ac:dyDescent="0.2">
      <c r="A31" s="9" t="s">
        <v>27</v>
      </c>
      <c r="B31" s="10">
        <v>573447.68000000005</v>
      </c>
      <c r="C31" s="10">
        <v>573447.68999999994</v>
      </c>
      <c r="D31" s="11">
        <v>0</v>
      </c>
      <c r="E31" s="10">
        <v>569680.31999999995</v>
      </c>
      <c r="F31" s="12">
        <f t="shared" si="7"/>
        <v>0.99343031619850108</v>
      </c>
      <c r="G31" s="10">
        <f t="shared" si="10"/>
        <v>3767.3699999999953</v>
      </c>
      <c r="H31" s="13">
        <v>3767.37</v>
      </c>
      <c r="I31" s="14">
        <v>0</v>
      </c>
      <c r="J31" s="14">
        <v>0</v>
      </c>
      <c r="K31" s="14">
        <f t="shared" si="8"/>
        <v>3767.37</v>
      </c>
      <c r="L31" s="15">
        <f t="shared" si="9"/>
        <v>0.99343031619850108</v>
      </c>
      <c r="M31" s="65">
        <f t="shared" si="6"/>
        <v>4.5474735088646412E-12</v>
      </c>
    </row>
    <row r="32" spans="1:15" x14ac:dyDescent="0.2">
      <c r="A32" s="9" t="s">
        <v>28</v>
      </c>
      <c r="B32" s="10">
        <v>36484.65</v>
      </c>
      <c r="C32" s="10">
        <v>36484.65</v>
      </c>
      <c r="D32" s="11">
        <v>0</v>
      </c>
      <c r="E32" s="10">
        <v>0</v>
      </c>
      <c r="F32" s="12">
        <f t="shared" si="7"/>
        <v>0</v>
      </c>
      <c r="G32" s="10">
        <f t="shared" si="10"/>
        <v>36484.65</v>
      </c>
      <c r="H32" s="13">
        <v>36484.65</v>
      </c>
      <c r="I32" s="14">
        <v>0</v>
      </c>
      <c r="J32" s="14">
        <v>0</v>
      </c>
      <c r="K32" s="14">
        <f t="shared" si="8"/>
        <v>36484.65</v>
      </c>
      <c r="L32" s="15">
        <f t="shared" si="9"/>
        <v>0</v>
      </c>
      <c r="M32" s="65">
        <f t="shared" si="6"/>
        <v>0</v>
      </c>
    </row>
    <row r="33" spans="1:15" x14ac:dyDescent="0.2">
      <c r="A33" s="9" t="s">
        <v>29</v>
      </c>
      <c r="B33" s="10">
        <v>25802087</v>
      </c>
      <c r="C33" s="10">
        <v>25802087</v>
      </c>
      <c r="D33" s="45">
        <f>1948.34+11855.21+17411.8+24901.03+30826.95+1275.36+39471.97+28017.47</f>
        <v>155708.13</v>
      </c>
      <c r="E33" s="10">
        <v>21535015.98</v>
      </c>
      <c r="F33" s="12">
        <f t="shared" si="7"/>
        <v>0.83462302797444254</v>
      </c>
      <c r="G33" s="10">
        <f t="shared" si="10"/>
        <v>4422779.1499999985</v>
      </c>
      <c r="H33" s="13">
        <f>4256662.33+280000</f>
        <v>4536662.33</v>
      </c>
      <c r="I33" s="14">
        <f>152805.87-30099.8</f>
        <v>122706.06999999999</v>
      </c>
      <c r="J33" s="14">
        <f>20016.25+101234.5+88489.25+27754.43-905.18</f>
        <v>236589.25</v>
      </c>
      <c r="K33" s="14">
        <f>H33+I33-J33</f>
        <v>4422779.1500000004</v>
      </c>
      <c r="L33" s="15">
        <f t="shared" si="9"/>
        <v>0.83462302797444254</v>
      </c>
      <c r="M33" s="65">
        <f t="shared" si="6"/>
        <v>0</v>
      </c>
      <c r="N33" s="18"/>
      <c r="O33" s="18"/>
    </row>
    <row r="34" spans="1:15" x14ac:dyDescent="0.2">
      <c r="A34" s="9" t="s">
        <v>30</v>
      </c>
      <c r="B34" s="10">
        <v>0</v>
      </c>
      <c r="C34" s="10">
        <f>1296554.55-1984</f>
        <v>1294570.55</v>
      </c>
      <c r="D34" s="10">
        <v>0</v>
      </c>
      <c r="E34" s="10">
        <v>1101765.3</v>
      </c>
      <c r="F34" s="12">
        <f t="shared" si="7"/>
        <v>0.85106624741309</v>
      </c>
      <c r="G34" s="10">
        <f>+C34+D34-E34</f>
        <v>192805.25</v>
      </c>
      <c r="H34" s="13">
        <v>484505.73</v>
      </c>
      <c r="I34" s="14">
        <v>0</v>
      </c>
      <c r="J34" s="14">
        <f>117121+174579.48</f>
        <v>291700.47999999998</v>
      </c>
      <c r="K34" s="14">
        <f>H34+I34-J34</f>
        <v>192805.25</v>
      </c>
      <c r="L34" s="15">
        <f t="shared" si="9"/>
        <v>0.85106624741309</v>
      </c>
      <c r="M34" s="65">
        <f>+K34-G34</f>
        <v>0</v>
      </c>
      <c r="N34" s="19"/>
      <c r="O34" s="18"/>
    </row>
    <row r="35" spans="1:15" x14ac:dyDescent="0.2">
      <c r="A35" s="9" t="s">
        <v>31</v>
      </c>
      <c r="B35" s="10">
        <v>700000</v>
      </c>
      <c r="C35" s="10">
        <v>700000</v>
      </c>
      <c r="D35" s="11">
        <v>0</v>
      </c>
      <c r="E35" s="10">
        <v>700000</v>
      </c>
      <c r="F35" s="12">
        <f t="shared" si="7"/>
        <v>1</v>
      </c>
      <c r="G35" s="11">
        <v>0</v>
      </c>
      <c r="H35" s="13">
        <v>9956.9</v>
      </c>
      <c r="I35" s="14">
        <v>0</v>
      </c>
      <c r="J35" s="14">
        <f>6034.48+3017.24+905.18</f>
        <v>9956.9</v>
      </c>
      <c r="K35" s="14">
        <f t="shared" si="8"/>
        <v>0</v>
      </c>
      <c r="L35" s="15">
        <f t="shared" si="9"/>
        <v>1</v>
      </c>
      <c r="M35" s="65">
        <f t="shared" ref="M35:M98" si="11">+K35-G35</f>
        <v>0</v>
      </c>
    </row>
    <row r="36" spans="1:15" x14ac:dyDescent="0.2">
      <c r="A36" s="9">
        <v>3001</v>
      </c>
      <c r="B36" s="11">
        <v>0</v>
      </c>
      <c r="C36" s="11">
        <v>0</v>
      </c>
      <c r="D36" s="11">
        <v>0</v>
      </c>
      <c r="E36" s="10">
        <v>0</v>
      </c>
      <c r="F36" s="12">
        <v>0</v>
      </c>
      <c r="G36" s="11">
        <v>0</v>
      </c>
      <c r="H36" s="11">
        <v>0</v>
      </c>
      <c r="I36" s="14">
        <v>0</v>
      </c>
      <c r="J36" s="14">
        <v>0</v>
      </c>
      <c r="K36" s="14">
        <f t="shared" si="8"/>
        <v>0</v>
      </c>
      <c r="L36" s="15">
        <f t="shared" si="9"/>
        <v>0</v>
      </c>
      <c r="M36" s="65">
        <f t="shared" si="11"/>
        <v>0</v>
      </c>
    </row>
    <row r="37" spans="1:15" x14ac:dyDescent="0.2">
      <c r="A37" s="9">
        <v>3002</v>
      </c>
      <c r="B37" s="11">
        <v>0</v>
      </c>
      <c r="C37" s="11">
        <v>0</v>
      </c>
      <c r="D37" s="11">
        <v>0</v>
      </c>
      <c r="E37" s="10">
        <v>0</v>
      </c>
      <c r="F37" s="12">
        <v>0</v>
      </c>
      <c r="G37" s="11">
        <v>0</v>
      </c>
      <c r="H37" s="11">
        <v>0</v>
      </c>
      <c r="I37" s="14">
        <v>0</v>
      </c>
      <c r="J37" s="14">
        <v>0</v>
      </c>
      <c r="K37" s="14">
        <f t="shared" si="8"/>
        <v>0</v>
      </c>
      <c r="L37" s="15">
        <f t="shared" si="9"/>
        <v>0</v>
      </c>
      <c r="M37" s="65">
        <f t="shared" si="11"/>
        <v>0</v>
      </c>
    </row>
    <row r="38" spans="1:15" x14ac:dyDescent="0.2">
      <c r="A38" s="9" t="s">
        <v>32</v>
      </c>
      <c r="B38" s="10">
        <v>1483500</v>
      </c>
      <c r="C38" s="10">
        <v>1483500</v>
      </c>
      <c r="D38" s="11">
        <v>0</v>
      </c>
      <c r="E38" s="10">
        <v>1483500</v>
      </c>
      <c r="F38" s="12">
        <f>+E38/C38</f>
        <v>1</v>
      </c>
      <c r="G38" s="11">
        <v>0</v>
      </c>
      <c r="H38" s="13">
        <v>21101.51</v>
      </c>
      <c r="I38" s="14">
        <v>0</v>
      </c>
      <c r="J38" s="14">
        <f>12788.79+6394.4+1918.32</f>
        <v>21101.510000000002</v>
      </c>
      <c r="K38" s="14">
        <f t="shared" si="8"/>
        <v>0</v>
      </c>
      <c r="L38" s="15">
        <f t="shared" si="9"/>
        <v>1</v>
      </c>
      <c r="M38" s="65">
        <f t="shared" si="11"/>
        <v>0</v>
      </c>
    </row>
    <row r="39" spans="1:15" s="5" customFormat="1" x14ac:dyDescent="0.2">
      <c r="A39" s="20" t="s">
        <v>33</v>
      </c>
      <c r="B39" s="21">
        <f>SUM(B22:B38)</f>
        <v>69366749.510000005</v>
      </c>
      <c r="C39" s="21">
        <f>SUM(C22:C38)</f>
        <v>62549993.799999997</v>
      </c>
      <c r="D39" s="21">
        <f>SUM(D22:D38)</f>
        <v>156397.53</v>
      </c>
      <c r="E39" s="21">
        <f>SUM(E22:E38)</f>
        <v>54483733.409999996</v>
      </c>
      <c r="F39" s="22">
        <f>+E39/C39</f>
        <v>0.87104298657820167</v>
      </c>
      <c r="G39" s="21">
        <f>SUM(G22:G38)</f>
        <v>8222657.9199999981</v>
      </c>
      <c r="H39" s="21">
        <f>SUM(H22:H38)</f>
        <v>9108210.5800000001</v>
      </c>
      <c r="I39" s="21">
        <f>SUM(I22:I38)</f>
        <v>774335.75</v>
      </c>
      <c r="J39" s="21">
        <f>SUM(J22:J38)</f>
        <v>1660347.41</v>
      </c>
      <c r="K39" s="21">
        <f>SUM(K22:K38)</f>
        <v>8222198.9199999999</v>
      </c>
      <c r="L39" s="23"/>
      <c r="M39" s="65">
        <f t="shared" si="11"/>
        <v>-458.99999999813735</v>
      </c>
    </row>
    <row r="40" spans="1:15" x14ac:dyDescent="0.2">
      <c r="A40" s="9" t="s">
        <v>18</v>
      </c>
      <c r="B40" s="10">
        <v>0</v>
      </c>
      <c r="C40" s="10">
        <v>0</v>
      </c>
      <c r="D40" s="13"/>
      <c r="E40" s="10">
        <v>0</v>
      </c>
      <c r="F40" s="12">
        <v>0</v>
      </c>
      <c r="G40" s="10">
        <v>4283.6000000000004</v>
      </c>
      <c r="H40" s="10">
        <v>32268.68</v>
      </c>
      <c r="I40" s="10">
        <v>0</v>
      </c>
      <c r="J40" s="10">
        <v>27985.08</v>
      </c>
      <c r="K40" s="10">
        <f t="shared" si="8"/>
        <v>4283.5999999999985</v>
      </c>
      <c r="L40" s="15"/>
      <c r="M40" s="65">
        <f t="shared" si="11"/>
        <v>0</v>
      </c>
    </row>
    <row r="41" spans="1:15" x14ac:dyDescent="0.2">
      <c r="A41" s="9" t="s">
        <v>20</v>
      </c>
      <c r="B41" s="10">
        <v>0</v>
      </c>
      <c r="C41" s="10">
        <v>0</v>
      </c>
      <c r="D41" s="13"/>
      <c r="E41" s="10">
        <v>0</v>
      </c>
      <c r="F41" s="12">
        <v>0</v>
      </c>
      <c r="G41" s="10">
        <v>45477.47</v>
      </c>
      <c r="H41" s="10">
        <v>45477.47</v>
      </c>
      <c r="I41" s="10">
        <v>0</v>
      </c>
      <c r="J41" s="10">
        <v>0</v>
      </c>
      <c r="K41" s="10">
        <f t="shared" si="8"/>
        <v>45477.47</v>
      </c>
      <c r="L41" s="15"/>
      <c r="M41" s="65">
        <f t="shared" si="11"/>
        <v>0</v>
      </c>
    </row>
    <row r="42" spans="1:15" x14ac:dyDescent="0.2">
      <c r="A42" s="9" t="s">
        <v>25</v>
      </c>
      <c r="B42" s="10">
        <v>0</v>
      </c>
      <c r="C42" s="10">
        <v>0</v>
      </c>
      <c r="D42" s="13"/>
      <c r="E42" s="10">
        <v>0</v>
      </c>
      <c r="F42" s="12">
        <v>0</v>
      </c>
      <c r="G42" s="10">
        <v>45082.35</v>
      </c>
      <c r="H42" s="10">
        <v>45082.35</v>
      </c>
      <c r="I42" s="10">
        <v>0</v>
      </c>
      <c r="J42" s="10">
        <v>0</v>
      </c>
      <c r="K42" s="10">
        <f t="shared" si="8"/>
        <v>45082.35</v>
      </c>
      <c r="L42" s="15"/>
      <c r="M42" s="65">
        <f t="shared" si="11"/>
        <v>0</v>
      </c>
    </row>
    <row r="43" spans="1:15" x14ac:dyDescent="0.2">
      <c r="A43" s="9" t="s">
        <v>26</v>
      </c>
      <c r="B43" s="10">
        <v>0</v>
      </c>
      <c r="C43" s="10">
        <v>0</v>
      </c>
      <c r="D43" s="13"/>
      <c r="E43" s="10">
        <v>0</v>
      </c>
      <c r="F43" s="12">
        <v>0</v>
      </c>
      <c r="G43" s="10">
        <v>220218.16</v>
      </c>
      <c r="H43" s="10">
        <v>20218.16</v>
      </c>
      <c r="I43" s="10">
        <v>200000</v>
      </c>
      <c r="J43" s="10">
        <v>0</v>
      </c>
      <c r="K43" s="10">
        <f t="shared" si="8"/>
        <v>220218.16</v>
      </c>
      <c r="L43" s="15"/>
      <c r="M43" s="65">
        <f t="shared" si="11"/>
        <v>0</v>
      </c>
    </row>
    <row r="44" spans="1:15" x14ac:dyDescent="0.2">
      <c r="A44" s="9" t="s">
        <v>29</v>
      </c>
      <c r="B44" s="10">
        <v>0</v>
      </c>
      <c r="C44" s="10">
        <v>0</v>
      </c>
      <c r="D44" s="11">
        <v>0</v>
      </c>
      <c r="E44" s="10">
        <v>0</v>
      </c>
      <c r="F44" s="12">
        <v>0</v>
      </c>
      <c r="G44" s="10">
        <v>2494385.7599999998</v>
      </c>
      <c r="H44" s="10">
        <f>66.53+2511998.64</f>
        <v>2512065.17</v>
      </c>
      <c r="I44" s="10">
        <v>0</v>
      </c>
      <c r="J44" s="10">
        <v>17679.41</v>
      </c>
      <c r="K44" s="10">
        <f t="shared" si="8"/>
        <v>2494385.7599999998</v>
      </c>
      <c r="L44" s="15"/>
      <c r="M44" s="65">
        <f t="shared" si="11"/>
        <v>0</v>
      </c>
    </row>
    <row r="45" spans="1:15" ht="27" x14ac:dyDescent="0.2">
      <c r="A45" s="9" t="s">
        <v>34</v>
      </c>
      <c r="B45" s="10">
        <v>0</v>
      </c>
      <c r="C45" s="10">
        <v>154782.26</v>
      </c>
      <c r="D45" s="13">
        <v>0</v>
      </c>
      <c r="E45" s="10">
        <v>0</v>
      </c>
      <c r="F45" s="12">
        <v>0</v>
      </c>
      <c r="G45" s="10">
        <f>+C45+D45-E45</f>
        <v>154782.26</v>
      </c>
      <c r="H45" s="10">
        <v>237102.37</v>
      </c>
      <c r="I45" s="10">
        <v>0</v>
      </c>
      <c r="J45" s="10">
        <v>82320.11</v>
      </c>
      <c r="K45" s="10">
        <f t="shared" si="8"/>
        <v>154782.26</v>
      </c>
      <c r="L45" s="15"/>
      <c r="M45" s="65">
        <f t="shared" si="11"/>
        <v>0</v>
      </c>
    </row>
    <row r="46" spans="1:15" x14ac:dyDescent="0.2">
      <c r="A46" s="9"/>
      <c r="B46" s="10">
        <v>0</v>
      </c>
      <c r="C46" s="10">
        <v>0</v>
      </c>
      <c r="D46" s="10"/>
      <c r="E46" s="10">
        <v>0</v>
      </c>
      <c r="F46" s="12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8"/>
        <v>0</v>
      </c>
      <c r="L46" s="15"/>
      <c r="M46" s="65">
        <f t="shared" si="11"/>
        <v>0</v>
      </c>
    </row>
    <row r="47" spans="1:15" x14ac:dyDescent="0.2">
      <c r="A47" s="24" t="s">
        <v>35</v>
      </c>
      <c r="B47" s="25">
        <f>SUM(B40:B46)</f>
        <v>0</v>
      </c>
      <c r="C47" s="25">
        <f t="shared" ref="C47:K47" si="12">SUM(C40:C46)</f>
        <v>154782.26</v>
      </c>
      <c r="D47" s="25">
        <f t="shared" si="12"/>
        <v>0</v>
      </c>
      <c r="E47" s="25">
        <f t="shared" si="12"/>
        <v>0</v>
      </c>
      <c r="F47" s="25">
        <f t="shared" si="12"/>
        <v>0</v>
      </c>
      <c r="G47" s="25">
        <f t="shared" si="12"/>
        <v>2964229.5999999996</v>
      </c>
      <c r="H47" s="25">
        <f t="shared" si="12"/>
        <v>2892214.2</v>
      </c>
      <c r="I47" s="25">
        <f t="shared" si="12"/>
        <v>200000</v>
      </c>
      <c r="J47" s="25">
        <f t="shared" si="12"/>
        <v>127984.6</v>
      </c>
      <c r="K47" s="25">
        <f t="shared" si="12"/>
        <v>2964229.5999999996</v>
      </c>
      <c r="L47" s="27"/>
      <c r="M47" s="65">
        <f t="shared" si="11"/>
        <v>0</v>
      </c>
    </row>
    <row r="48" spans="1:15" x14ac:dyDescent="0.2">
      <c r="A48" s="9" t="s">
        <v>18</v>
      </c>
      <c r="B48" s="10">
        <v>0</v>
      </c>
      <c r="C48" s="10">
        <v>0</v>
      </c>
      <c r="D48" s="10"/>
      <c r="E48" s="10">
        <v>0</v>
      </c>
      <c r="F48" s="12">
        <v>0</v>
      </c>
      <c r="G48" s="10">
        <v>57064.89</v>
      </c>
      <c r="H48" s="10">
        <v>132233.86000000002</v>
      </c>
      <c r="I48" s="10">
        <v>185.03</v>
      </c>
      <c r="J48" s="10">
        <v>75354</v>
      </c>
      <c r="K48" s="10">
        <f t="shared" si="8"/>
        <v>57064.890000000014</v>
      </c>
      <c r="L48" s="15"/>
      <c r="M48" s="65">
        <f t="shared" si="11"/>
        <v>0</v>
      </c>
    </row>
    <row r="49" spans="1:13" x14ac:dyDescent="0.2">
      <c r="A49" s="9" t="s">
        <v>36</v>
      </c>
      <c r="B49" s="10">
        <v>0</v>
      </c>
      <c r="C49" s="10">
        <v>0</v>
      </c>
      <c r="D49" s="10"/>
      <c r="E49" s="10">
        <v>0</v>
      </c>
      <c r="F49" s="12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8"/>
        <v>0</v>
      </c>
      <c r="L49" s="15"/>
      <c r="M49" s="65">
        <f t="shared" si="11"/>
        <v>0</v>
      </c>
    </row>
    <row r="50" spans="1:13" x14ac:dyDescent="0.2">
      <c r="A50" s="9" t="s">
        <v>20</v>
      </c>
      <c r="B50" s="10">
        <v>0</v>
      </c>
      <c r="C50" s="10">
        <v>0</v>
      </c>
      <c r="D50" s="10"/>
      <c r="E50" s="10">
        <v>0</v>
      </c>
      <c r="F50" s="12">
        <v>0</v>
      </c>
      <c r="G50" s="10">
        <v>54914.5</v>
      </c>
      <c r="H50" s="10">
        <v>51501.9</v>
      </c>
      <c r="I50" s="10">
        <v>0</v>
      </c>
      <c r="J50" s="10">
        <v>-3412.6000000000931</v>
      </c>
      <c r="K50" s="10">
        <f t="shared" si="8"/>
        <v>54914.500000000095</v>
      </c>
      <c r="L50" s="15"/>
      <c r="M50" s="65">
        <f t="shared" si="11"/>
        <v>9.4587448984384537E-11</v>
      </c>
    </row>
    <row r="51" spans="1:13" x14ac:dyDescent="0.2">
      <c r="A51" s="9" t="s">
        <v>21</v>
      </c>
      <c r="B51" s="10">
        <v>0</v>
      </c>
      <c r="C51" s="10">
        <v>0</v>
      </c>
      <c r="D51" s="10"/>
      <c r="E51" s="10">
        <v>0</v>
      </c>
      <c r="F51" s="12">
        <v>0</v>
      </c>
      <c r="G51" s="10">
        <v>5979.07</v>
      </c>
      <c r="H51" s="10">
        <v>5979.07</v>
      </c>
      <c r="I51" s="10">
        <v>0</v>
      </c>
      <c r="J51" s="10">
        <v>0</v>
      </c>
      <c r="K51" s="10">
        <f t="shared" si="8"/>
        <v>5979.07</v>
      </c>
      <c r="L51" s="15"/>
      <c r="M51" s="65">
        <f t="shared" si="11"/>
        <v>0</v>
      </c>
    </row>
    <row r="52" spans="1:13" x14ac:dyDescent="0.2">
      <c r="A52" s="9" t="s">
        <v>22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60932.3</v>
      </c>
      <c r="H52" s="10">
        <v>60932.3</v>
      </c>
      <c r="I52" s="10">
        <v>0</v>
      </c>
      <c r="J52" s="10">
        <v>0</v>
      </c>
      <c r="K52" s="10">
        <f t="shared" si="8"/>
        <v>60932.3</v>
      </c>
      <c r="L52" s="15"/>
      <c r="M52" s="65">
        <f t="shared" si="11"/>
        <v>0</v>
      </c>
    </row>
    <row r="53" spans="1:13" x14ac:dyDescent="0.2">
      <c r="A53" s="9" t="s">
        <v>24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17486.5</v>
      </c>
      <c r="H53" s="10">
        <v>17486.5</v>
      </c>
      <c r="I53" s="10">
        <v>0</v>
      </c>
      <c r="J53" s="10">
        <v>0</v>
      </c>
      <c r="K53" s="10">
        <f t="shared" si="8"/>
        <v>17486.5</v>
      </c>
      <c r="L53" s="15"/>
      <c r="M53" s="65">
        <f t="shared" si="11"/>
        <v>0</v>
      </c>
    </row>
    <row r="54" spans="1:13" x14ac:dyDescent="0.2">
      <c r="A54" s="9" t="s">
        <v>25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11051.67</v>
      </c>
      <c r="H54" s="10">
        <v>11051.67</v>
      </c>
      <c r="I54" s="10">
        <v>0</v>
      </c>
      <c r="J54" s="10">
        <v>0</v>
      </c>
      <c r="K54" s="10">
        <f t="shared" si="8"/>
        <v>11051.67</v>
      </c>
      <c r="L54" s="15"/>
      <c r="M54" s="65">
        <f t="shared" si="11"/>
        <v>0</v>
      </c>
    </row>
    <row r="55" spans="1:13" x14ac:dyDescent="0.2">
      <c r="A55" s="9" t="s">
        <v>29</v>
      </c>
      <c r="B55" s="10">
        <v>0</v>
      </c>
      <c r="C55" s="10">
        <v>0</v>
      </c>
      <c r="D55" s="10">
        <v>0</v>
      </c>
      <c r="E55" s="10">
        <v>0</v>
      </c>
      <c r="F55" s="12">
        <v>0</v>
      </c>
      <c r="G55" s="10">
        <v>148467.66</v>
      </c>
      <c r="H55" s="10">
        <v>158380.9</v>
      </c>
      <c r="I55" s="10"/>
      <c r="J55" s="10">
        <f>2876.27+7036.97</f>
        <v>9913.24</v>
      </c>
      <c r="K55" s="10">
        <f t="shared" si="8"/>
        <v>148467.66</v>
      </c>
      <c r="L55" s="15"/>
      <c r="M55" s="65">
        <f t="shared" si="11"/>
        <v>0</v>
      </c>
    </row>
    <row r="56" spans="1:13" x14ac:dyDescent="0.2">
      <c r="A56" s="9" t="s">
        <v>30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6199.68</v>
      </c>
      <c r="H56" s="10">
        <v>0</v>
      </c>
      <c r="I56" s="10">
        <v>6199.68</v>
      </c>
      <c r="J56" s="10">
        <v>0</v>
      </c>
      <c r="K56" s="10">
        <f t="shared" si="8"/>
        <v>6199.68</v>
      </c>
      <c r="L56" s="15"/>
      <c r="M56" s="65">
        <f t="shared" si="11"/>
        <v>0</v>
      </c>
    </row>
    <row r="57" spans="1:13" x14ac:dyDescent="0.2">
      <c r="A57" s="9">
        <v>3001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510.97</v>
      </c>
      <c r="H57" s="10">
        <v>696</v>
      </c>
      <c r="I57" s="10">
        <v>0</v>
      </c>
      <c r="J57" s="10">
        <v>185.03</v>
      </c>
      <c r="K57" s="10">
        <f t="shared" si="8"/>
        <v>510.97</v>
      </c>
      <c r="L57" s="15"/>
      <c r="M57" s="65">
        <f t="shared" si="11"/>
        <v>0</v>
      </c>
    </row>
    <row r="58" spans="1:13" x14ac:dyDescent="0.2">
      <c r="A58" s="9">
        <v>3002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64791.47</v>
      </c>
      <c r="H58" s="10">
        <v>64920.78</v>
      </c>
      <c r="I58" s="10">
        <v>0</v>
      </c>
      <c r="J58" s="10">
        <v>129.31</v>
      </c>
      <c r="K58" s="10">
        <f t="shared" si="8"/>
        <v>64791.47</v>
      </c>
      <c r="L58" s="15"/>
      <c r="M58" s="65">
        <f t="shared" si="11"/>
        <v>0</v>
      </c>
    </row>
    <row r="59" spans="1:13" x14ac:dyDescent="0.2">
      <c r="A59" s="9"/>
      <c r="B59" s="10">
        <v>0</v>
      </c>
      <c r="C59" s="10">
        <v>0</v>
      </c>
      <c r="D59" s="10"/>
      <c r="E59" s="10">
        <v>0</v>
      </c>
      <c r="F59" s="12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8"/>
        <v>0</v>
      </c>
      <c r="L59" s="15"/>
      <c r="M59" s="65">
        <f t="shared" si="11"/>
        <v>0</v>
      </c>
    </row>
    <row r="60" spans="1:13" x14ac:dyDescent="0.2">
      <c r="A60" s="24" t="s">
        <v>37</v>
      </c>
      <c r="B60" s="25">
        <f>SUM(B48:B59)</f>
        <v>0</v>
      </c>
      <c r="C60" s="25">
        <f t="shared" ref="C60:K60" si="13">SUM(C48:C59)</f>
        <v>0</v>
      </c>
      <c r="D60" s="25">
        <f t="shared" si="13"/>
        <v>0</v>
      </c>
      <c r="E60" s="25">
        <f t="shared" si="13"/>
        <v>0</v>
      </c>
      <c r="F60" s="25">
        <f t="shared" si="13"/>
        <v>0</v>
      </c>
      <c r="G60" s="25">
        <f t="shared" si="13"/>
        <v>427398.70999999996</v>
      </c>
      <c r="H60" s="25">
        <f t="shared" si="13"/>
        <v>503182.98</v>
      </c>
      <c r="I60" s="25">
        <f t="shared" si="13"/>
        <v>6384.71</v>
      </c>
      <c r="J60" s="25">
        <f t="shared" si="13"/>
        <v>82168.979999999909</v>
      </c>
      <c r="K60" s="25">
        <f t="shared" si="13"/>
        <v>427398.71000000008</v>
      </c>
      <c r="L60" s="27"/>
      <c r="M60" s="65">
        <f>+K60-G60</f>
        <v>0</v>
      </c>
    </row>
    <row r="61" spans="1:13" x14ac:dyDescent="0.2">
      <c r="A61" s="9" t="s">
        <v>18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38436.01</v>
      </c>
      <c r="H61" s="10">
        <v>62509.189999999988</v>
      </c>
      <c r="I61" s="10">
        <v>236626.82</v>
      </c>
      <c r="J61" s="10">
        <v>260700</v>
      </c>
      <c r="K61" s="10">
        <f t="shared" si="8"/>
        <v>38436.010000000009</v>
      </c>
      <c r="L61" s="15"/>
      <c r="M61" s="65">
        <f t="shared" si="11"/>
        <v>0</v>
      </c>
    </row>
    <row r="62" spans="1:13" x14ac:dyDescent="0.2">
      <c r="A62" s="9" t="s">
        <v>20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137672.87</v>
      </c>
      <c r="H62" s="10">
        <v>19069.32</v>
      </c>
      <c r="I62" s="10">
        <v>1797063.97</v>
      </c>
      <c r="J62" s="10">
        <v>1678460.42</v>
      </c>
      <c r="K62" s="10">
        <f t="shared" si="8"/>
        <v>137672.87000000011</v>
      </c>
      <c r="L62" s="15"/>
      <c r="M62" s="65">
        <f t="shared" si="11"/>
        <v>0</v>
      </c>
    </row>
    <row r="63" spans="1:13" x14ac:dyDescent="0.2">
      <c r="A63" s="9" t="s">
        <v>24</v>
      </c>
      <c r="B63" s="10">
        <v>0</v>
      </c>
      <c r="C63" s="10">
        <v>17884.25</v>
      </c>
      <c r="D63" s="10">
        <f>7.16+6.59</f>
        <v>13.75</v>
      </c>
      <c r="E63" s="10">
        <v>696</v>
      </c>
      <c r="F63" s="12">
        <v>0</v>
      </c>
      <c r="G63" s="10">
        <f>+C63+D63-E63</f>
        <v>17202</v>
      </c>
      <c r="H63" s="10">
        <v>17202</v>
      </c>
      <c r="I63" s="10">
        <v>0</v>
      </c>
      <c r="J63" s="10">
        <v>0</v>
      </c>
      <c r="K63" s="10">
        <f t="shared" si="8"/>
        <v>17202</v>
      </c>
      <c r="L63" s="15"/>
      <c r="M63" s="62">
        <f t="shared" si="11"/>
        <v>0</v>
      </c>
    </row>
    <row r="64" spans="1:13" x14ac:dyDescent="0.2">
      <c r="A64" s="9" t="s">
        <v>25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18649.8</v>
      </c>
      <c r="H64" s="10">
        <v>40388.06</v>
      </c>
      <c r="I64" s="10">
        <v>100000</v>
      </c>
      <c r="J64" s="10">
        <v>121738.26</v>
      </c>
      <c r="K64" s="10">
        <f t="shared" si="8"/>
        <v>18649.800000000003</v>
      </c>
      <c r="L64" s="15"/>
      <c r="M64" s="65">
        <f t="shared" si="11"/>
        <v>0</v>
      </c>
    </row>
    <row r="65" spans="1:13" x14ac:dyDescent="0.2">
      <c r="A65" s="9" t="s">
        <v>29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337850.79</v>
      </c>
      <c r="H65" s="10">
        <v>419631.03</v>
      </c>
      <c r="I65" s="10">
        <v>-7.49</v>
      </c>
      <c r="J65" s="10">
        <v>81772.75</v>
      </c>
      <c r="K65" s="10">
        <f t="shared" si="8"/>
        <v>337850.79000000004</v>
      </c>
      <c r="L65" s="15"/>
      <c r="M65" s="65">
        <f t="shared" si="11"/>
        <v>0</v>
      </c>
    </row>
    <row r="66" spans="1:13" x14ac:dyDescent="0.2">
      <c r="A66" s="9" t="s">
        <v>30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0</v>
      </c>
      <c r="H66" s="10">
        <v>538779.80000000005</v>
      </c>
      <c r="I66" s="10">
        <v>0</v>
      </c>
      <c r="J66" s="10">
        <v>538779.80000000005</v>
      </c>
      <c r="K66" s="10">
        <f t="shared" si="8"/>
        <v>0</v>
      </c>
      <c r="L66" s="15"/>
      <c r="M66" s="65">
        <f t="shared" si="11"/>
        <v>0</v>
      </c>
    </row>
    <row r="67" spans="1:13" x14ac:dyDescent="0.2">
      <c r="A67" s="9">
        <v>3001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314.99</v>
      </c>
      <c r="H67" s="10">
        <v>315</v>
      </c>
      <c r="I67" s="10">
        <v>0</v>
      </c>
      <c r="J67" s="10">
        <v>0.01</v>
      </c>
      <c r="K67" s="10">
        <f t="shared" si="8"/>
        <v>314.99</v>
      </c>
      <c r="L67" s="15"/>
      <c r="M67" s="65">
        <f t="shared" si="11"/>
        <v>0</v>
      </c>
    </row>
    <row r="68" spans="1:13" x14ac:dyDescent="0.2">
      <c r="A68" s="9">
        <v>3002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12858.9</v>
      </c>
      <c r="H68" s="10">
        <v>12858.91</v>
      </c>
      <c r="I68" s="10">
        <v>0</v>
      </c>
      <c r="J68" s="10">
        <v>0.01</v>
      </c>
      <c r="K68" s="10">
        <f t="shared" si="8"/>
        <v>12858.9</v>
      </c>
      <c r="L68" s="15"/>
      <c r="M68" s="65">
        <f t="shared" si="11"/>
        <v>0</v>
      </c>
    </row>
    <row r="69" spans="1:13" x14ac:dyDescent="0.2">
      <c r="A69" s="9"/>
      <c r="B69" s="10">
        <v>0</v>
      </c>
      <c r="C69" s="10">
        <v>0</v>
      </c>
      <c r="D69" s="10"/>
      <c r="E69" s="10">
        <v>0</v>
      </c>
      <c r="F69" s="12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8"/>
        <v>0</v>
      </c>
      <c r="L69" s="15"/>
      <c r="M69" s="65">
        <f t="shared" si="11"/>
        <v>0</v>
      </c>
    </row>
    <row r="70" spans="1:13" x14ac:dyDescent="0.2">
      <c r="A70" s="24" t="s">
        <v>38</v>
      </c>
      <c r="B70" s="25">
        <f>SUM(B61:B69)</f>
        <v>0</v>
      </c>
      <c r="C70" s="25">
        <f t="shared" ref="C70:K70" si="14">SUM(C61:C69)</f>
        <v>17884.25</v>
      </c>
      <c r="D70" s="25">
        <f t="shared" si="14"/>
        <v>13.75</v>
      </c>
      <c r="E70" s="25">
        <f t="shared" si="14"/>
        <v>696</v>
      </c>
      <c r="F70" s="25">
        <f t="shared" si="14"/>
        <v>0</v>
      </c>
      <c r="G70" s="25">
        <f t="shared" si="14"/>
        <v>562985.36</v>
      </c>
      <c r="H70" s="25">
        <f t="shared" si="14"/>
        <v>1110753.3099999998</v>
      </c>
      <c r="I70" s="25">
        <f t="shared" si="14"/>
        <v>2133683.2999999998</v>
      </c>
      <c r="J70" s="25">
        <f t="shared" si="14"/>
        <v>2681451.2499999991</v>
      </c>
      <c r="K70" s="25">
        <f t="shared" si="14"/>
        <v>562985.36000000022</v>
      </c>
      <c r="L70" s="27"/>
      <c r="M70" s="65">
        <f t="shared" si="11"/>
        <v>0</v>
      </c>
    </row>
    <row r="71" spans="1:13" x14ac:dyDescent="0.2">
      <c r="A71" s="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70435.27</v>
      </c>
      <c r="H71" s="10">
        <v>27196.65</v>
      </c>
      <c r="I71" s="10">
        <v>1260055.98</v>
      </c>
      <c r="J71" s="10">
        <v>1216817.3599999999</v>
      </c>
      <c r="K71" s="10">
        <f t="shared" si="8"/>
        <v>70435.270000000019</v>
      </c>
      <c r="L71" s="15"/>
      <c r="M71" s="65">
        <f t="shared" si="11"/>
        <v>0</v>
      </c>
    </row>
    <row r="72" spans="1:13" x14ac:dyDescent="0.2">
      <c r="A72" s="9" t="s">
        <v>36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-10</v>
      </c>
      <c r="H72" s="10">
        <v>-10</v>
      </c>
      <c r="I72" s="10">
        <v>0</v>
      </c>
      <c r="J72" s="10">
        <v>0</v>
      </c>
      <c r="K72" s="10">
        <f t="shared" si="8"/>
        <v>-10</v>
      </c>
      <c r="L72" s="15"/>
      <c r="M72" s="65">
        <f t="shared" si="11"/>
        <v>0</v>
      </c>
    </row>
    <row r="73" spans="1:13" x14ac:dyDescent="0.2">
      <c r="A73" s="9" t="s">
        <v>20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10409.09</v>
      </c>
      <c r="H73" s="10">
        <v>8124.4500000000007</v>
      </c>
      <c r="I73" s="10">
        <v>1364164.99</v>
      </c>
      <c r="J73" s="10">
        <v>1361880.35</v>
      </c>
      <c r="K73" s="10">
        <f t="shared" si="8"/>
        <v>10409.089999999851</v>
      </c>
      <c r="L73" s="15"/>
      <c r="M73" s="65">
        <f t="shared" si="11"/>
        <v>-1.4915713109076023E-10</v>
      </c>
    </row>
    <row r="74" spans="1:13" x14ac:dyDescent="0.2">
      <c r="A74" s="9" t="s">
        <v>24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1150.8900000000001</v>
      </c>
      <c r="H74" s="10">
        <v>42631.81</v>
      </c>
      <c r="I74" s="10">
        <v>412765.08</v>
      </c>
      <c r="J74" s="10">
        <v>454246</v>
      </c>
      <c r="K74" s="10">
        <f t="shared" si="8"/>
        <v>1150.890000000014</v>
      </c>
      <c r="L74" s="15"/>
      <c r="M74" s="65">
        <f t="shared" si="11"/>
        <v>1.3869794202037156E-11</v>
      </c>
    </row>
    <row r="75" spans="1:13" x14ac:dyDescent="0.2">
      <c r="A75" s="9" t="s">
        <v>25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-1415.64</v>
      </c>
      <c r="H75" s="10">
        <v>719.87</v>
      </c>
      <c r="I75" s="10">
        <v>17662.490000000002</v>
      </c>
      <c r="J75" s="10">
        <v>19798</v>
      </c>
      <c r="K75" s="10">
        <f t="shared" si="8"/>
        <v>-1415.6399999999994</v>
      </c>
      <c r="L75" s="15"/>
      <c r="M75" s="65">
        <f t="shared" si="11"/>
        <v>0</v>
      </c>
    </row>
    <row r="76" spans="1:13" x14ac:dyDescent="0.2">
      <c r="A76" s="9" t="s">
        <v>27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267528.84000000003</v>
      </c>
      <c r="H76" s="10">
        <v>0</v>
      </c>
      <c r="I76" s="10">
        <v>267528.84000000003</v>
      </c>
      <c r="J76" s="10">
        <v>0</v>
      </c>
      <c r="K76" s="10">
        <f t="shared" si="8"/>
        <v>267528.84000000003</v>
      </c>
      <c r="L76" s="15"/>
      <c r="M76" s="65">
        <f t="shared" si="11"/>
        <v>0</v>
      </c>
    </row>
    <row r="77" spans="1:13" x14ac:dyDescent="0.2">
      <c r="A77" s="9" t="s">
        <v>29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238880.59</v>
      </c>
      <c r="H77" s="10">
        <v>286118.3</v>
      </c>
      <c r="I77" s="10">
        <v>98358.74</v>
      </c>
      <c r="J77" s="10">
        <v>145596.44999999998</v>
      </c>
      <c r="K77" s="10">
        <f t="shared" si="8"/>
        <v>238880.59</v>
      </c>
      <c r="L77" s="15"/>
      <c r="M77" s="65">
        <f t="shared" si="11"/>
        <v>0</v>
      </c>
    </row>
    <row r="78" spans="1:13" x14ac:dyDescent="0.2">
      <c r="A78" s="9" t="s">
        <v>30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8"/>
        <v>0</v>
      </c>
      <c r="L78" s="15"/>
      <c r="M78" s="65">
        <f t="shared" si="11"/>
        <v>0</v>
      </c>
    </row>
    <row r="79" spans="1:13" x14ac:dyDescent="0.2">
      <c r="A79" s="9"/>
      <c r="B79" s="10">
        <v>0</v>
      </c>
      <c r="C79" s="10">
        <v>0</v>
      </c>
      <c r="D79" s="10"/>
      <c r="E79" s="10">
        <v>0</v>
      </c>
      <c r="F79" s="12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8"/>
        <v>0</v>
      </c>
      <c r="L79" s="15"/>
      <c r="M79" s="65">
        <f t="shared" si="11"/>
        <v>0</v>
      </c>
    </row>
    <row r="80" spans="1:13" x14ac:dyDescent="0.2">
      <c r="A80" s="24" t="s">
        <v>39</v>
      </c>
      <c r="B80" s="25">
        <f>SUM(B71:B79)</f>
        <v>0</v>
      </c>
      <c r="C80" s="25">
        <f t="shared" ref="C80:K80" si="15">SUM(C71:C79)</f>
        <v>0</v>
      </c>
      <c r="D80" s="25">
        <f t="shared" si="15"/>
        <v>0</v>
      </c>
      <c r="E80" s="25">
        <f t="shared" si="15"/>
        <v>0</v>
      </c>
      <c r="F80" s="25">
        <f t="shared" si="15"/>
        <v>0</v>
      </c>
      <c r="G80" s="25">
        <f t="shared" si="15"/>
        <v>586979.04</v>
      </c>
      <c r="H80" s="25">
        <f t="shared" si="15"/>
        <v>364781.07999999996</v>
      </c>
      <c r="I80" s="25">
        <f t="shared" si="15"/>
        <v>3420536.12</v>
      </c>
      <c r="J80" s="25">
        <f t="shared" si="15"/>
        <v>3198338.16</v>
      </c>
      <c r="K80" s="25">
        <f t="shared" si="15"/>
        <v>586979.03999999992</v>
      </c>
      <c r="L80" s="27"/>
      <c r="M80" s="65">
        <f t="shared" si="11"/>
        <v>0</v>
      </c>
    </row>
    <row r="81" spans="1:13" x14ac:dyDescent="0.2">
      <c r="A81" s="9" t="s">
        <v>18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1852.17</v>
      </c>
      <c r="H81" s="10">
        <v>21852.97</v>
      </c>
      <c r="I81" s="10">
        <v>0</v>
      </c>
      <c r="J81" s="10">
        <v>20000.8</v>
      </c>
      <c r="K81" s="10">
        <f t="shared" si="8"/>
        <v>1852.1700000000019</v>
      </c>
      <c r="L81" s="15"/>
      <c r="M81" s="65">
        <f t="shared" si="11"/>
        <v>1.8189894035458565E-12</v>
      </c>
    </row>
    <row r="82" spans="1:13" x14ac:dyDescent="0.2">
      <c r="A82" s="9" t="s">
        <v>24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43212.38</v>
      </c>
      <c r="H82" s="10">
        <v>43212.38</v>
      </c>
      <c r="I82" s="10">
        <v>0</v>
      </c>
      <c r="J82" s="10">
        <v>0</v>
      </c>
      <c r="K82" s="10">
        <f t="shared" si="8"/>
        <v>43212.38</v>
      </c>
      <c r="L82" s="15"/>
      <c r="M82" s="65">
        <f t="shared" si="11"/>
        <v>0</v>
      </c>
    </row>
    <row r="83" spans="1:13" x14ac:dyDescent="0.2">
      <c r="A83" s="9" t="s">
        <v>25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1625.34</v>
      </c>
      <c r="H83" s="10">
        <v>8443.23</v>
      </c>
      <c r="I83" s="10">
        <v>10845.58</v>
      </c>
      <c r="J83" s="10">
        <v>17663.47</v>
      </c>
      <c r="K83" s="10">
        <f t="shared" si="8"/>
        <v>1625.3399999999965</v>
      </c>
      <c r="L83" s="15"/>
      <c r="M83" s="65">
        <f t="shared" si="11"/>
        <v>-3.4106051316484809E-12</v>
      </c>
    </row>
    <row r="84" spans="1:13" x14ac:dyDescent="0.2">
      <c r="A84" s="9" t="s">
        <v>26</v>
      </c>
      <c r="B84" s="10">
        <v>0</v>
      </c>
      <c r="C84" s="10">
        <v>0</v>
      </c>
      <c r="D84" s="10"/>
      <c r="E84" s="10">
        <v>0</v>
      </c>
      <c r="F84" s="12">
        <v>0</v>
      </c>
      <c r="G84" s="10">
        <v>20682.669999999998</v>
      </c>
      <c r="H84" s="10">
        <v>0</v>
      </c>
      <c r="I84" s="10">
        <v>20682.669999999998</v>
      </c>
      <c r="J84" s="10">
        <v>0</v>
      </c>
      <c r="K84" s="10">
        <f t="shared" si="8"/>
        <v>20682.669999999998</v>
      </c>
      <c r="L84" s="15"/>
      <c r="M84" s="65">
        <f t="shared" si="11"/>
        <v>0</v>
      </c>
    </row>
    <row r="85" spans="1:13" x14ac:dyDescent="0.2">
      <c r="A85" s="9" t="s">
        <v>29</v>
      </c>
      <c r="B85" s="10">
        <v>0</v>
      </c>
      <c r="C85" s="10">
        <v>0</v>
      </c>
      <c r="D85" s="10"/>
      <c r="E85" s="10">
        <v>0</v>
      </c>
      <c r="F85" s="12">
        <v>0</v>
      </c>
      <c r="G85" s="10">
        <v>74081.95</v>
      </c>
      <c r="H85" s="10">
        <v>79147.360000000001</v>
      </c>
      <c r="I85" s="10">
        <v>0</v>
      </c>
      <c r="J85" s="10">
        <v>5065.41</v>
      </c>
      <c r="K85" s="10">
        <f t="shared" si="8"/>
        <v>74081.95</v>
      </c>
      <c r="L85" s="15"/>
      <c r="M85" s="65">
        <f t="shared" si="11"/>
        <v>0</v>
      </c>
    </row>
    <row r="86" spans="1:13" x14ac:dyDescent="0.2">
      <c r="A86" s="9" t="s">
        <v>30</v>
      </c>
      <c r="B86" s="10">
        <v>0</v>
      </c>
      <c r="C86" s="10">
        <v>0</v>
      </c>
      <c r="D86" s="10"/>
      <c r="E86" s="10">
        <v>0</v>
      </c>
      <c r="F86" s="12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8"/>
        <v>0</v>
      </c>
      <c r="L86" s="15"/>
      <c r="M86" s="65">
        <f t="shared" si="11"/>
        <v>0</v>
      </c>
    </row>
    <row r="87" spans="1:13" x14ac:dyDescent="0.2">
      <c r="A87" s="9"/>
      <c r="B87" s="10">
        <v>0</v>
      </c>
      <c r="C87" s="10">
        <v>0</v>
      </c>
      <c r="D87" s="10"/>
      <c r="E87" s="10">
        <v>0</v>
      </c>
      <c r="F87" s="12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ref="K87:K95" si="16">H87+I87-J87</f>
        <v>0</v>
      </c>
      <c r="L87" s="15"/>
      <c r="M87" s="65">
        <f t="shared" si="11"/>
        <v>0</v>
      </c>
    </row>
    <row r="88" spans="1:13" x14ac:dyDescent="0.2">
      <c r="A88" s="24" t="s">
        <v>40</v>
      </c>
      <c r="B88" s="25">
        <f>SUM(B81:B87)</f>
        <v>0</v>
      </c>
      <c r="C88" s="25">
        <f t="shared" ref="C88:K88" si="17">SUM(C81:C87)</f>
        <v>0</v>
      </c>
      <c r="D88" s="25">
        <f t="shared" si="17"/>
        <v>0</v>
      </c>
      <c r="E88" s="25">
        <f t="shared" si="17"/>
        <v>0</v>
      </c>
      <c r="F88" s="25">
        <f t="shared" si="17"/>
        <v>0</v>
      </c>
      <c r="G88" s="25">
        <f t="shared" si="17"/>
        <v>141454.51</v>
      </c>
      <c r="H88" s="25">
        <f t="shared" si="17"/>
        <v>152655.94</v>
      </c>
      <c r="I88" s="25">
        <f t="shared" si="17"/>
        <v>31528.25</v>
      </c>
      <c r="J88" s="25">
        <f t="shared" si="17"/>
        <v>42729.680000000008</v>
      </c>
      <c r="K88" s="25">
        <f t="shared" si="17"/>
        <v>141454.51</v>
      </c>
      <c r="L88" s="27"/>
      <c r="M88" s="65">
        <f t="shared" si="11"/>
        <v>0</v>
      </c>
    </row>
    <row r="89" spans="1:13" x14ac:dyDescent="0.2">
      <c r="A89" s="9" t="s">
        <v>36</v>
      </c>
      <c r="B89" s="10">
        <v>0</v>
      </c>
      <c r="C89" s="10">
        <v>0</v>
      </c>
      <c r="D89" s="10"/>
      <c r="E89" s="10">
        <v>0</v>
      </c>
      <c r="F89" s="12">
        <v>0</v>
      </c>
      <c r="G89" s="10">
        <v>12193</v>
      </c>
      <c r="H89" s="10">
        <v>13553.029999999999</v>
      </c>
      <c r="I89" s="10">
        <v>0</v>
      </c>
      <c r="J89" s="10">
        <v>1360.03</v>
      </c>
      <c r="K89" s="10">
        <f t="shared" si="16"/>
        <v>12192.999999999998</v>
      </c>
      <c r="L89" s="15"/>
      <c r="M89" s="65">
        <f t="shared" si="11"/>
        <v>0</v>
      </c>
    </row>
    <row r="90" spans="1:13" x14ac:dyDescent="0.2">
      <c r="A90" s="9" t="s">
        <v>29</v>
      </c>
      <c r="B90" s="10">
        <v>0</v>
      </c>
      <c r="C90" s="10">
        <v>0</v>
      </c>
      <c r="D90" s="10"/>
      <c r="E90" s="10">
        <v>0</v>
      </c>
      <c r="F90" s="12">
        <v>0</v>
      </c>
      <c r="G90" s="10">
        <v>7163.64</v>
      </c>
      <c r="H90" s="10">
        <v>6216.71</v>
      </c>
      <c r="I90" s="10">
        <v>4500</v>
      </c>
      <c r="J90" s="10">
        <v>3553.0699999999997</v>
      </c>
      <c r="K90" s="10">
        <f t="shared" si="16"/>
        <v>7163.6399999999994</v>
      </c>
      <c r="L90" s="15"/>
      <c r="M90" s="65">
        <f t="shared" si="11"/>
        <v>0</v>
      </c>
    </row>
    <row r="91" spans="1:13" x14ac:dyDescent="0.2">
      <c r="A91" s="9"/>
      <c r="B91" s="10">
        <v>0</v>
      </c>
      <c r="C91" s="10">
        <v>0</v>
      </c>
      <c r="D91" s="10"/>
      <c r="E91" s="10">
        <v>0</v>
      </c>
      <c r="F91" s="12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6"/>
        <v>0</v>
      </c>
      <c r="L91" s="15"/>
      <c r="M91" s="65">
        <f t="shared" si="11"/>
        <v>0</v>
      </c>
    </row>
    <row r="92" spans="1:13" x14ac:dyDescent="0.2">
      <c r="A92" s="24" t="s">
        <v>41</v>
      </c>
      <c r="B92" s="25">
        <f>+B89+B90+B91</f>
        <v>0</v>
      </c>
      <c r="C92" s="25">
        <f t="shared" ref="C92:K92" si="18">+C89+C90+C91</f>
        <v>0</v>
      </c>
      <c r="D92" s="25">
        <f t="shared" si="18"/>
        <v>0</v>
      </c>
      <c r="E92" s="25">
        <f t="shared" si="18"/>
        <v>0</v>
      </c>
      <c r="F92" s="25">
        <f t="shared" si="18"/>
        <v>0</v>
      </c>
      <c r="G92" s="25">
        <f t="shared" si="18"/>
        <v>19356.64</v>
      </c>
      <c r="H92" s="25">
        <f t="shared" si="18"/>
        <v>19769.739999999998</v>
      </c>
      <c r="I92" s="25">
        <f t="shared" si="18"/>
        <v>4500</v>
      </c>
      <c r="J92" s="25">
        <f t="shared" si="18"/>
        <v>4913.0999999999995</v>
      </c>
      <c r="K92" s="25">
        <f t="shared" si="18"/>
        <v>19356.64</v>
      </c>
      <c r="L92" s="27"/>
      <c r="M92" s="65">
        <f t="shared" si="11"/>
        <v>0</v>
      </c>
    </row>
    <row r="93" spans="1:13" x14ac:dyDescent="0.2">
      <c r="A93" s="9" t="s">
        <v>36</v>
      </c>
      <c r="B93" s="10">
        <v>0</v>
      </c>
      <c r="C93" s="10">
        <v>0</v>
      </c>
      <c r="D93" s="10"/>
      <c r="E93" s="10">
        <v>0</v>
      </c>
      <c r="F93" s="12">
        <v>0</v>
      </c>
      <c r="G93" s="10">
        <v>4081.54</v>
      </c>
      <c r="H93" s="10">
        <v>4081.54</v>
      </c>
      <c r="I93" s="10">
        <v>0</v>
      </c>
      <c r="J93" s="10">
        <v>0</v>
      </c>
      <c r="K93" s="10">
        <f t="shared" si="16"/>
        <v>4081.54</v>
      </c>
      <c r="L93" s="15"/>
      <c r="M93" s="65">
        <f t="shared" si="11"/>
        <v>0</v>
      </c>
    </row>
    <row r="94" spans="1:13" x14ac:dyDescent="0.2">
      <c r="A94" s="9" t="s">
        <v>29</v>
      </c>
      <c r="B94" s="10">
        <v>0</v>
      </c>
      <c r="C94" s="10">
        <v>0</v>
      </c>
      <c r="D94" s="10"/>
      <c r="E94" s="10">
        <v>0</v>
      </c>
      <c r="F94" s="12">
        <v>0</v>
      </c>
      <c r="G94" s="10">
        <v>28063.68</v>
      </c>
      <c r="H94" s="10">
        <v>2763.68</v>
      </c>
      <c r="I94" s="10">
        <v>25300</v>
      </c>
      <c r="J94" s="10">
        <v>0</v>
      </c>
      <c r="K94" s="10">
        <f t="shared" si="16"/>
        <v>28063.68</v>
      </c>
      <c r="L94" s="15"/>
      <c r="M94" s="65">
        <f t="shared" si="11"/>
        <v>0</v>
      </c>
    </row>
    <row r="95" spans="1:13" x14ac:dyDescent="0.2">
      <c r="A95" s="9"/>
      <c r="B95" s="10">
        <v>0</v>
      </c>
      <c r="C95" s="10">
        <v>0</v>
      </c>
      <c r="D95" s="10"/>
      <c r="E95" s="10">
        <v>0</v>
      </c>
      <c r="F95" s="12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6"/>
        <v>0</v>
      </c>
      <c r="L95" s="15"/>
      <c r="M95" s="65">
        <f t="shared" si="11"/>
        <v>0</v>
      </c>
    </row>
    <row r="96" spans="1:13" x14ac:dyDescent="0.2">
      <c r="A96" s="24" t="s">
        <v>42</v>
      </c>
      <c r="B96" s="25">
        <f>+B93+B94+B95</f>
        <v>0</v>
      </c>
      <c r="C96" s="25">
        <f t="shared" ref="C96:K96" si="19">+C93+C94+C95</f>
        <v>0</v>
      </c>
      <c r="D96" s="25">
        <f t="shared" si="19"/>
        <v>0</v>
      </c>
      <c r="E96" s="25">
        <f t="shared" si="19"/>
        <v>0</v>
      </c>
      <c r="F96" s="25">
        <f t="shared" si="19"/>
        <v>0</v>
      </c>
      <c r="G96" s="25">
        <f t="shared" si="19"/>
        <v>32145.22</v>
      </c>
      <c r="H96" s="25">
        <f t="shared" si="19"/>
        <v>6845.2199999999993</v>
      </c>
      <c r="I96" s="25">
        <f t="shared" si="19"/>
        <v>25300</v>
      </c>
      <c r="J96" s="25">
        <f t="shared" si="19"/>
        <v>0</v>
      </c>
      <c r="K96" s="25">
        <f t="shared" si="19"/>
        <v>32145.22</v>
      </c>
      <c r="L96" s="27"/>
      <c r="M96" s="65">
        <f t="shared" si="11"/>
        <v>0</v>
      </c>
    </row>
    <row r="97" spans="1:13" x14ac:dyDescent="0.2">
      <c r="A97" s="9"/>
      <c r="B97" s="10">
        <v>0</v>
      </c>
      <c r="C97" s="10">
        <v>0</v>
      </c>
      <c r="D97" s="10"/>
      <c r="E97" s="10">
        <v>0</v>
      </c>
      <c r="F97" s="12">
        <v>0</v>
      </c>
      <c r="G97" s="10">
        <v>0</v>
      </c>
      <c r="H97" s="10">
        <v>0</v>
      </c>
      <c r="I97" s="10">
        <v>0</v>
      </c>
      <c r="J97" s="10">
        <v>0</v>
      </c>
      <c r="K97" s="10">
        <f>H97+I97-J97</f>
        <v>0</v>
      </c>
      <c r="L97" s="15"/>
      <c r="M97" s="65">
        <f t="shared" si="11"/>
        <v>0</v>
      </c>
    </row>
    <row r="98" spans="1:13" ht="27" x14ac:dyDescent="0.2">
      <c r="A98" s="24" t="s">
        <v>43</v>
      </c>
      <c r="B98" s="25">
        <f t="shared" ref="B98:K98" si="20">+B96+B92+B88+B80+B70+B60+B47+B39</f>
        <v>69366749.510000005</v>
      </c>
      <c r="C98" s="25">
        <f t="shared" si="20"/>
        <v>62722660.309999995</v>
      </c>
      <c r="D98" s="25">
        <f t="shared" si="20"/>
        <v>156411.28</v>
      </c>
      <c r="E98" s="25">
        <f t="shared" si="20"/>
        <v>54484429.409999996</v>
      </c>
      <c r="F98" s="25">
        <f t="shared" si="20"/>
        <v>0.87104298657820167</v>
      </c>
      <c r="G98" s="25">
        <f t="shared" si="20"/>
        <v>12957206.999999998</v>
      </c>
      <c r="H98" s="25">
        <f t="shared" si="20"/>
        <v>14158413.050000001</v>
      </c>
      <c r="I98" s="25">
        <f t="shared" si="20"/>
        <v>6596268.1299999999</v>
      </c>
      <c r="J98" s="25">
        <f t="shared" si="20"/>
        <v>7797933.1799999988</v>
      </c>
      <c r="K98" s="25">
        <f t="shared" si="20"/>
        <v>12956748</v>
      </c>
      <c r="L98" s="27"/>
      <c r="M98" s="65">
        <f t="shared" si="11"/>
        <v>-458.99999999813735</v>
      </c>
    </row>
    <row r="99" spans="1:13" x14ac:dyDescent="0.2">
      <c r="A99" s="9"/>
      <c r="B99" s="10">
        <v>0</v>
      </c>
      <c r="C99" s="10">
        <v>0</v>
      </c>
      <c r="D99" s="10"/>
      <c r="E99" s="10">
        <v>0</v>
      </c>
      <c r="F99" s="12">
        <v>0</v>
      </c>
      <c r="G99" s="10">
        <v>0</v>
      </c>
      <c r="H99" s="10">
        <v>0</v>
      </c>
      <c r="I99" s="10">
        <v>0</v>
      </c>
      <c r="J99" s="10">
        <v>0</v>
      </c>
      <c r="K99" s="10">
        <f>H99+I99-J99</f>
        <v>0</v>
      </c>
      <c r="L99" s="15"/>
      <c r="M99" s="65">
        <f>+K99-G99</f>
        <v>0</v>
      </c>
    </row>
    <row r="100" spans="1:13" x14ac:dyDescent="0.25">
      <c r="A100" s="24" t="s">
        <v>44</v>
      </c>
      <c r="B100" s="25">
        <f>+B98+B21</f>
        <v>137105315.59</v>
      </c>
      <c r="C100" s="25">
        <f t="shared" ref="C100:K100" si="21">+C98+C21</f>
        <v>117520379.41</v>
      </c>
      <c r="D100" s="25">
        <f t="shared" si="21"/>
        <v>156411.28</v>
      </c>
      <c r="E100" s="25">
        <f t="shared" si="21"/>
        <v>84846007.50999999</v>
      </c>
      <c r="F100" s="25">
        <f t="shared" si="21"/>
        <v>4.4260903164342897</v>
      </c>
      <c r="G100" s="25">
        <f t="shared" si="21"/>
        <v>37393348</v>
      </c>
      <c r="H100" s="25">
        <f t="shared" si="21"/>
        <v>38496535.18</v>
      </c>
      <c r="I100" s="25">
        <f t="shared" si="21"/>
        <v>7899546.5</v>
      </c>
      <c r="J100" s="25">
        <f t="shared" si="21"/>
        <v>9003199.8399999999</v>
      </c>
      <c r="K100" s="25">
        <f t="shared" si="21"/>
        <v>37392881.840000004</v>
      </c>
      <c r="L100" s="27"/>
    </row>
    <row r="101" spans="1:13" x14ac:dyDescent="0.25">
      <c r="A101" s="28"/>
      <c r="B101" s="29"/>
      <c r="C101" s="29"/>
      <c r="D101" s="29"/>
      <c r="E101" s="28"/>
      <c r="F101" s="28"/>
      <c r="G101" s="28"/>
      <c r="H101" s="28"/>
      <c r="I101" s="28"/>
      <c r="J101" s="28"/>
      <c r="K101" s="28"/>
      <c r="L101" s="30"/>
    </row>
    <row r="102" spans="1:13" x14ac:dyDescent="0.25">
      <c r="A102" s="19"/>
      <c r="B102" s="19"/>
      <c r="C102" s="333" t="s">
        <v>45</v>
      </c>
      <c r="D102" s="333"/>
      <c r="E102" s="333"/>
      <c r="F102" s="333"/>
      <c r="G102" s="333"/>
      <c r="H102" s="333"/>
      <c r="I102" s="333"/>
      <c r="J102" s="19"/>
      <c r="K102" s="19"/>
      <c r="L102" s="19"/>
    </row>
    <row r="103" spans="1:13" x14ac:dyDescent="0.25">
      <c r="A103" s="19"/>
      <c r="B103" s="19"/>
      <c r="C103" s="66"/>
      <c r="D103" s="66"/>
      <c r="E103" s="66"/>
      <c r="F103" s="66"/>
      <c r="G103" s="66"/>
      <c r="H103" s="66"/>
      <c r="I103" s="66"/>
      <c r="J103" s="19"/>
      <c r="K103" s="19"/>
      <c r="L103" s="19"/>
    </row>
    <row r="104" spans="1:13" x14ac:dyDescent="0.25">
      <c r="A104" s="19"/>
      <c r="B104" s="325" t="s">
        <v>46</v>
      </c>
      <c r="C104" s="325"/>
      <c r="D104" s="326" t="s">
        <v>47</v>
      </c>
      <c r="E104" s="327"/>
      <c r="F104" s="328"/>
      <c r="G104" s="320" t="s">
        <v>48</v>
      </c>
      <c r="H104" s="320"/>
      <c r="I104" s="69" t="s">
        <v>10</v>
      </c>
      <c r="J104" s="19"/>
      <c r="K104" s="19"/>
      <c r="L104" s="19"/>
    </row>
    <row r="105" spans="1:13" x14ac:dyDescent="0.25">
      <c r="A105" s="19"/>
      <c r="B105" s="329" t="s">
        <v>49</v>
      </c>
      <c r="C105" s="329"/>
      <c r="D105" s="330">
        <v>8135543</v>
      </c>
      <c r="E105" s="331"/>
      <c r="F105" s="332">
        <v>0</v>
      </c>
      <c r="G105" s="330">
        <v>2004169</v>
      </c>
      <c r="H105" s="332"/>
      <c r="I105" s="33">
        <f>G105/D105</f>
        <v>0.2463472935979811</v>
      </c>
      <c r="J105" s="19"/>
      <c r="K105" s="19"/>
      <c r="L105" s="19"/>
    </row>
    <row r="106" spans="1:13" x14ac:dyDescent="0.25">
      <c r="A106" s="19"/>
      <c r="B106" s="320"/>
      <c r="C106" s="320"/>
      <c r="D106" s="321"/>
      <c r="E106" s="322"/>
      <c r="F106" s="323"/>
      <c r="G106" s="324"/>
      <c r="H106" s="324"/>
      <c r="I106" s="70"/>
      <c r="J106" s="19"/>
      <c r="K106" s="19"/>
      <c r="L106" s="19"/>
    </row>
    <row r="107" spans="1:13" x14ac:dyDescent="0.25">
      <c r="A107" s="19"/>
      <c r="B107" s="320"/>
      <c r="C107" s="320"/>
      <c r="D107" s="321"/>
      <c r="E107" s="322"/>
      <c r="F107" s="323"/>
      <c r="G107" s="324"/>
      <c r="H107" s="324"/>
      <c r="I107" s="70"/>
      <c r="J107" s="19"/>
      <c r="K107" s="19"/>
      <c r="L107" s="19"/>
    </row>
    <row r="108" spans="1:13" x14ac:dyDescent="0.25">
      <c r="A108" s="19"/>
      <c r="B108" s="320"/>
      <c r="C108" s="320"/>
      <c r="D108" s="321"/>
      <c r="E108" s="322"/>
      <c r="F108" s="323"/>
      <c r="G108" s="324"/>
      <c r="H108" s="324"/>
      <c r="I108" s="70"/>
      <c r="J108" s="19"/>
      <c r="K108" s="19"/>
      <c r="L108" s="19"/>
    </row>
    <row r="109" spans="1:13" x14ac:dyDescent="0.25">
      <c r="A109" s="35" t="s">
        <v>50</v>
      </c>
      <c r="B109" s="36"/>
      <c r="C109" s="36"/>
      <c r="D109" s="36"/>
      <c r="E109" s="36"/>
      <c r="F109" s="36"/>
      <c r="G109" s="37"/>
      <c r="H109" s="37"/>
      <c r="I109" s="38"/>
      <c r="J109" s="19"/>
      <c r="K109" s="19"/>
      <c r="L109" s="19"/>
    </row>
  </sheetData>
  <mergeCells count="31">
    <mergeCell ref="B108:C108"/>
    <mergeCell ref="D108:F108"/>
    <mergeCell ref="G108:H108"/>
    <mergeCell ref="B106:C106"/>
    <mergeCell ref="D106:F106"/>
    <mergeCell ref="G106:H106"/>
    <mergeCell ref="B107:C107"/>
    <mergeCell ref="D107:F107"/>
    <mergeCell ref="G107:H107"/>
    <mergeCell ref="B104:C104"/>
    <mergeCell ref="D104:F104"/>
    <mergeCell ref="G104:H104"/>
    <mergeCell ref="B105:C105"/>
    <mergeCell ref="D105:F105"/>
    <mergeCell ref="G105:H105"/>
    <mergeCell ref="C102:I102"/>
    <mergeCell ref="A1:L1"/>
    <mergeCell ref="A3:L3"/>
    <mergeCell ref="C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O105"/>
  <sheetViews>
    <sheetView topLeftCell="A7" zoomScaleNormal="100" workbookViewId="0">
      <pane ySplit="1" topLeftCell="A8" activePane="bottomLeft" state="frozen"/>
      <selection activeCell="A7" sqref="A7"/>
      <selection pane="bottomLeft" activeCell="H9" sqref="H9:J9"/>
    </sheetView>
  </sheetViews>
  <sheetFormatPr baseColWidth="10" defaultColWidth="16.5703125" defaultRowHeight="18" x14ac:dyDescent="0.25"/>
  <cols>
    <col min="1" max="1" width="16.5703125" style="1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16.5703125" style="94"/>
    <col min="14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4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x14ac:dyDescent="0.25">
      <c r="A4" s="3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4" x14ac:dyDescent="0.25">
      <c r="A5" s="3" t="s">
        <v>2</v>
      </c>
      <c r="B5" s="5"/>
      <c r="C5" s="5"/>
      <c r="D5" s="5"/>
      <c r="E5" s="6"/>
      <c r="F5" s="6"/>
      <c r="G5" s="6"/>
    </row>
    <row r="6" spans="1:14" x14ac:dyDescent="0.25">
      <c r="C6" s="335" t="s">
        <v>3</v>
      </c>
      <c r="D6" s="335"/>
      <c r="E6" s="336"/>
      <c r="F6" s="336"/>
      <c r="G6" s="336"/>
      <c r="H6" s="335" t="s">
        <v>4</v>
      </c>
      <c r="I6" s="335"/>
      <c r="J6" s="335"/>
      <c r="K6" s="335"/>
    </row>
    <row r="7" spans="1:14" s="17" customFormat="1" ht="95.25" customHeight="1" x14ac:dyDescent="0.25">
      <c r="A7" s="337" t="s">
        <v>5</v>
      </c>
      <c r="B7" s="340" t="s">
        <v>6</v>
      </c>
      <c r="C7" s="340" t="s">
        <v>7</v>
      </c>
      <c r="D7" s="340" t="s">
        <v>8</v>
      </c>
      <c r="E7" s="340" t="s">
        <v>9</v>
      </c>
      <c r="F7" s="340" t="s">
        <v>10</v>
      </c>
      <c r="G7" s="337" t="s">
        <v>11</v>
      </c>
      <c r="H7" s="340" t="s">
        <v>12</v>
      </c>
      <c r="I7" s="340" t="s">
        <v>13</v>
      </c>
      <c r="J7" s="340" t="s">
        <v>14</v>
      </c>
      <c r="K7" s="340" t="s">
        <v>15</v>
      </c>
      <c r="L7" s="8" t="s">
        <v>16</v>
      </c>
      <c r="M7" s="106"/>
    </row>
    <row r="8" spans="1:14" ht="31.5" customHeight="1" x14ac:dyDescent="0.25">
      <c r="A8" s="338"/>
      <c r="B8" s="340"/>
      <c r="C8" s="340"/>
      <c r="D8" s="340"/>
      <c r="E8" s="340"/>
      <c r="F8" s="340"/>
      <c r="G8" s="338"/>
      <c r="H8" s="340"/>
      <c r="I8" s="340"/>
      <c r="J8" s="340"/>
      <c r="K8" s="340"/>
      <c r="L8" s="8" t="s">
        <v>17</v>
      </c>
    </row>
    <row r="9" spans="1:14" s="17" customFormat="1" x14ac:dyDescent="0.25">
      <c r="A9" s="9" t="s">
        <v>18</v>
      </c>
      <c r="B9" s="10">
        <v>10284399.08</v>
      </c>
      <c r="C9" s="109">
        <v>6909373.4699999997</v>
      </c>
      <c r="D9" s="11">
        <v>0</v>
      </c>
      <c r="E9" s="108">
        <v>4982776.72</v>
      </c>
      <c r="F9" s="12">
        <f>+E9/C9</f>
        <v>0.72116187403023679</v>
      </c>
      <c r="G9" s="10">
        <f t="shared" ref="G9:G20" si="0">+C9+D9-E9</f>
        <v>1926596.75</v>
      </c>
      <c r="H9" s="13">
        <f>210274.15+1577519.48</f>
        <v>1787793.63</v>
      </c>
      <c r="I9" s="14">
        <f>211629.3+60054.32+10000+17400</f>
        <v>299083.62</v>
      </c>
      <c r="J9" s="14">
        <f>15483+2773.46+2741.58+41056.24</f>
        <v>62054.28</v>
      </c>
      <c r="K9" s="14">
        <f>H9+I9-J9</f>
        <v>2024822.97</v>
      </c>
      <c r="L9" s="15">
        <f>+F9</f>
        <v>0.72116187403023679</v>
      </c>
      <c r="M9" s="62">
        <f>+K9-G9</f>
        <v>98226.219999999972</v>
      </c>
      <c r="N9" s="114"/>
    </row>
    <row r="10" spans="1:14" x14ac:dyDescent="0.2">
      <c r="A10" s="9" t="s">
        <v>20</v>
      </c>
      <c r="B10" s="10">
        <v>25204741</v>
      </c>
      <c r="C10" s="109">
        <v>11804369</v>
      </c>
      <c r="D10" s="11">
        <v>0</v>
      </c>
      <c r="E10" s="108">
        <v>14385481.539999999</v>
      </c>
      <c r="F10" s="12">
        <f t="shared" ref="F10:F15" si="1">+E10/C10</f>
        <v>1.2186573920215471</v>
      </c>
      <c r="G10" s="10">
        <f t="shared" si="0"/>
        <v>-2581112.5399999991</v>
      </c>
      <c r="H10" s="13">
        <f>70563.59-737557.47</f>
        <v>-666993.88</v>
      </c>
      <c r="I10" s="14">
        <f>201886.37+1000</f>
        <v>202886.37</v>
      </c>
      <c r="J10" s="14">
        <f>368837+7341.8+11558.52+1729267.71</f>
        <v>2117005.0299999998</v>
      </c>
      <c r="K10" s="14">
        <f t="shared" ref="K10:K18" si="2">H10+I10-J10</f>
        <v>-2581112.54</v>
      </c>
      <c r="L10" s="15">
        <f t="shared" ref="L10:L20" si="3">+F10</f>
        <v>1.2186573920215471</v>
      </c>
      <c r="M10" s="62">
        <f>+K10-G10</f>
        <v>0</v>
      </c>
      <c r="N10" s="115"/>
    </row>
    <row r="11" spans="1:14" x14ac:dyDescent="0.2">
      <c r="A11" s="9" t="s">
        <v>21</v>
      </c>
      <c r="B11" s="10"/>
      <c r="C11" s="10">
        <v>92886</v>
      </c>
      <c r="D11" s="11">
        <v>0</v>
      </c>
      <c r="E11" s="80">
        <v>0</v>
      </c>
      <c r="F11" s="12">
        <f t="shared" si="1"/>
        <v>0</v>
      </c>
      <c r="G11" s="10">
        <f t="shared" si="0"/>
        <v>92886</v>
      </c>
      <c r="H11" s="13">
        <v>93886</v>
      </c>
      <c r="I11" s="14">
        <v>0</v>
      </c>
      <c r="J11" s="14">
        <v>1000</v>
      </c>
      <c r="K11" s="14">
        <f t="shared" si="2"/>
        <v>92886</v>
      </c>
      <c r="L11" s="15">
        <f t="shared" si="3"/>
        <v>0</v>
      </c>
      <c r="M11" s="71">
        <f>+K11-G11</f>
        <v>0</v>
      </c>
      <c r="N11" s="82"/>
    </row>
    <row r="12" spans="1:14" x14ac:dyDescent="0.2">
      <c r="A12" s="9" t="s">
        <v>22</v>
      </c>
      <c r="B12" s="10"/>
      <c r="C12" s="10">
        <v>194334</v>
      </c>
      <c r="D12" s="11">
        <v>0</v>
      </c>
      <c r="E12" s="79">
        <v>0</v>
      </c>
      <c r="F12" s="12">
        <f t="shared" si="1"/>
        <v>0</v>
      </c>
      <c r="G12" s="10">
        <f t="shared" si="0"/>
        <v>194334</v>
      </c>
      <c r="H12" s="13">
        <v>195334</v>
      </c>
      <c r="I12" s="14"/>
      <c r="J12" s="14">
        <v>1000</v>
      </c>
      <c r="K12" s="14">
        <f t="shared" si="2"/>
        <v>194334</v>
      </c>
      <c r="L12" s="15">
        <f t="shared" si="3"/>
        <v>0</v>
      </c>
      <c r="M12" s="71">
        <f>+K12-G12</f>
        <v>0</v>
      </c>
      <c r="N12" s="82"/>
    </row>
    <row r="13" spans="1:14" x14ac:dyDescent="0.2">
      <c r="A13" s="9" t="s">
        <v>23</v>
      </c>
      <c r="B13" s="10"/>
      <c r="C13" s="10">
        <v>641691.98</v>
      </c>
      <c r="D13" s="11">
        <v>0</v>
      </c>
      <c r="E13" s="79">
        <v>0</v>
      </c>
      <c r="F13" s="12">
        <f t="shared" si="1"/>
        <v>0</v>
      </c>
      <c r="G13" s="10">
        <f t="shared" si="0"/>
        <v>641691.98</v>
      </c>
      <c r="H13" s="13">
        <v>642691.98</v>
      </c>
      <c r="I13" s="14"/>
      <c r="J13" s="14">
        <v>1000</v>
      </c>
      <c r="K13" s="14">
        <f t="shared" si="2"/>
        <v>641691.98</v>
      </c>
      <c r="L13" s="15">
        <f t="shared" si="3"/>
        <v>0</v>
      </c>
      <c r="M13" s="71">
        <f t="shared" ref="M13:M19" si="4">+K13-G13</f>
        <v>0</v>
      </c>
      <c r="N13" s="82"/>
    </row>
    <row r="14" spans="1:14" x14ac:dyDescent="0.2">
      <c r="A14" s="9" t="s">
        <v>24</v>
      </c>
      <c r="B14" s="10">
        <v>12977087</v>
      </c>
      <c r="C14" s="109">
        <v>8168307</v>
      </c>
      <c r="D14" s="11">
        <v>0</v>
      </c>
      <c r="E14" s="108">
        <v>8173511.5999999996</v>
      </c>
      <c r="F14" s="12">
        <f t="shared" si="1"/>
        <v>1.0006371699790422</v>
      </c>
      <c r="G14" s="10">
        <f t="shared" si="0"/>
        <v>-5204.5999999996275</v>
      </c>
      <c r="H14" s="13">
        <v>395061.4</v>
      </c>
      <c r="I14" s="14">
        <v>553</v>
      </c>
      <c r="J14" s="14">
        <f>105868+294951</f>
        <v>400819</v>
      </c>
      <c r="K14" s="14">
        <f t="shared" si="2"/>
        <v>-5204.5999999999767</v>
      </c>
      <c r="L14" s="15">
        <f t="shared" si="3"/>
        <v>1.0006371699790422</v>
      </c>
      <c r="M14" s="62">
        <f t="shared" si="4"/>
        <v>-3.4924596548080444E-10</v>
      </c>
      <c r="N14" s="116"/>
    </row>
    <row r="15" spans="1:14" x14ac:dyDescent="0.2">
      <c r="A15" s="9" t="s">
        <v>25</v>
      </c>
      <c r="B15" s="10"/>
      <c r="C15" s="10">
        <v>255735</v>
      </c>
      <c r="D15" s="11">
        <v>0</v>
      </c>
      <c r="E15" s="78">
        <v>9717.48</v>
      </c>
      <c r="F15" s="12">
        <f t="shared" si="1"/>
        <v>3.7998240366003869E-2</v>
      </c>
      <c r="G15" s="10">
        <f t="shared" si="0"/>
        <v>246017.52</v>
      </c>
      <c r="H15" s="13">
        <v>247017.52</v>
      </c>
      <c r="I15" s="14">
        <v>0</v>
      </c>
      <c r="J15" s="14">
        <v>1000</v>
      </c>
      <c r="K15" s="14">
        <f t="shared" si="2"/>
        <v>246017.52</v>
      </c>
      <c r="L15" s="15">
        <f t="shared" si="3"/>
        <v>3.7998240366003869E-2</v>
      </c>
      <c r="M15" s="71">
        <f t="shared" si="4"/>
        <v>0</v>
      </c>
      <c r="N15" s="82"/>
    </row>
    <row r="16" spans="1:14" x14ac:dyDescent="0.2">
      <c r="A16" s="9" t="s">
        <v>53</v>
      </c>
      <c r="B16" s="10"/>
      <c r="C16" s="11">
        <v>0</v>
      </c>
      <c r="D16" s="11"/>
      <c r="E16" s="79">
        <v>0</v>
      </c>
      <c r="F16" s="12">
        <v>0</v>
      </c>
      <c r="G16" s="14">
        <f t="shared" si="0"/>
        <v>0</v>
      </c>
      <c r="H16" s="11">
        <v>0</v>
      </c>
      <c r="I16" s="14">
        <v>0</v>
      </c>
      <c r="J16" s="14">
        <v>0</v>
      </c>
      <c r="K16" s="14">
        <f t="shared" si="2"/>
        <v>0</v>
      </c>
      <c r="L16" s="15">
        <f t="shared" si="3"/>
        <v>0</v>
      </c>
      <c r="M16" s="71">
        <f t="shared" si="4"/>
        <v>0</v>
      </c>
      <c r="N16" s="82"/>
    </row>
    <row r="17" spans="1:15" x14ac:dyDescent="0.2">
      <c r="A17" s="9" t="s">
        <v>27</v>
      </c>
      <c r="B17" s="10"/>
      <c r="C17" s="11">
        <v>0</v>
      </c>
      <c r="D17" s="11">
        <v>0</v>
      </c>
      <c r="E17" s="80">
        <v>0</v>
      </c>
      <c r="F17" s="12">
        <v>0</v>
      </c>
      <c r="G17" s="14">
        <f t="shared" si="0"/>
        <v>0</v>
      </c>
      <c r="H17" s="11"/>
      <c r="I17" s="14">
        <v>0</v>
      </c>
      <c r="J17" s="14">
        <v>0</v>
      </c>
      <c r="K17" s="14">
        <f t="shared" si="2"/>
        <v>0</v>
      </c>
      <c r="L17" s="15">
        <f t="shared" si="3"/>
        <v>0</v>
      </c>
      <c r="M17" s="71">
        <f t="shared" si="4"/>
        <v>0</v>
      </c>
      <c r="N17" s="84"/>
    </row>
    <row r="18" spans="1:15" x14ac:dyDescent="0.2">
      <c r="A18" s="9" t="s">
        <v>28</v>
      </c>
      <c r="B18" s="10"/>
      <c r="C18" s="11">
        <v>23886.12</v>
      </c>
      <c r="D18" s="11"/>
      <c r="E18" s="79">
        <v>0</v>
      </c>
      <c r="F18" s="12">
        <v>0</v>
      </c>
      <c r="G18" s="14">
        <f t="shared" si="0"/>
        <v>23886.12</v>
      </c>
      <c r="H18" s="11">
        <v>24886.12</v>
      </c>
      <c r="I18" s="14">
        <v>0</v>
      </c>
      <c r="J18" s="14">
        <v>1000</v>
      </c>
      <c r="K18" s="14">
        <f t="shared" si="2"/>
        <v>23886.12</v>
      </c>
      <c r="L18" s="15">
        <f t="shared" si="3"/>
        <v>0</v>
      </c>
      <c r="M18" s="71">
        <f t="shared" si="4"/>
        <v>0</v>
      </c>
      <c r="N18" s="72"/>
    </row>
    <row r="19" spans="1:15" x14ac:dyDescent="0.2">
      <c r="A19" s="9" t="s">
        <v>29</v>
      </c>
      <c r="B19" s="10"/>
      <c r="C19" s="10">
        <v>19581911</v>
      </c>
      <c r="D19" s="11">
        <v>0</v>
      </c>
      <c r="E19" s="80">
        <v>0</v>
      </c>
      <c r="F19" s="12">
        <f>+E19/C19</f>
        <v>0</v>
      </c>
      <c r="G19" s="10">
        <f t="shared" si="0"/>
        <v>19581911</v>
      </c>
      <c r="H19" s="13">
        <f>11195092+8392819</f>
        <v>19587911</v>
      </c>
      <c r="I19" s="14">
        <v>0</v>
      </c>
      <c r="J19" s="14">
        <v>6000</v>
      </c>
      <c r="K19" s="14">
        <f>H19+I19-J19</f>
        <v>19581911</v>
      </c>
      <c r="L19" s="15">
        <f t="shared" si="3"/>
        <v>0</v>
      </c>
      <c r="M19" s="71">
        <f t="shared" si="4"/>
        <v>0</v>
      </c>
      <c r="N19" s="72"/>
      <c r="O19" s="18"/>
    </row>
    <row r="20" spans="1:15" x14ac:dyDescent="0.2">
      <c r="A20" s="9" t="s">
        <v>30</v>
      </c>
      <c r="B20" s="10">
        <v>19272339</v>
      </c>
      <c r="C20" s="10">
        <v>12349736</v>
      </c>
      <c r="D20" s="11">
        <v>0</v>
      </c>
      <c r="E20" s="78">
        <v>9723431.5700000003</v>
      </c>
      <c r="F20" s="12">
        <f>+E20/C20</f>
        <v>0.78733922490326924</v>
      </c>
      <c r="G20" s="10">
        <f t="shared" si="0"/>
        <v>2626304.4299999997</v>
      </c>
      <c r="H20" s="13">
        <v>896990.55</v>
      </c>
      <c r="I20" s="14">
        <f>1666375.88+122684</f>
        <v>1789059.88</v>
      </c>
      <c r="J20" s="14">
        <f>35450+24296</f>
        <v>59746</v>
      </c>
      <c r="K20" s="14">
        <f>H20+I20-J20</f>
        <v>2626304.4299999997</v>
      </c>
      <c r="L20" s="15">
        <f t="shared" si="3"/>
        <v>0.78733922490326924</v>
      </c>
      <c r="M20" s="107">
        <f>+K20-G20</f>
        <v>0</v>
      </c>
      <c r="N20" s="117"/>
      <c r="O20" s="18"/>
    </row>
    <row r="21" spans="1:15" s="5" customFormat="1" x14ac:dyDescent="0.2">
      <c r="A21" s="20" t="s">
        <v>51</v>
      </c>
      <c r="B21" s="21">
        <f>SUM(B9:B20)</f>
        <v>67738566.079999998</v>
      </c>
      <c r="C21" s="21">
        <f>SUM(C9:C20)</f>
        <v>60022229.57</v>
      </c>
      <c r="D21" s="21">
        <f>SUM(D9:D20)</f>
        <v>0</v>
      </c>
      <c r="E21" s="21">
        <f>SUM(E9:E20)</f>
        <v>37274918.909999996</v>
      </c>
      <c r="F21" s="21">
        <f t="shared" ref="F21:K21" si="5">SUM(F9:F20)</f>
        <v>3.7657939013000989</v>
      </c>
      <c r="G21" s="21">
        <f t="shared" si="5"/>
        <v>22747310.66</v>
      </c>
      <c r="H21" s="21">
        <f t="shared" si="5"/>
        <v>23204578.32</v>
      </c>
      <c r="I21" s="21">
        <f t="shared" si="5"/>
        <v>2291582.87</v>
      </c>
      <c r="J21" s="21">
        <f t="shared" si="5"/>
        <v>2650624.3099999996</v>
      </c>
      <c r="K21" s="21">
        <f t="shared" si="5"/>
        <v>22845536.879999999</v>
      </c>
      <c r="L21" s="23"/>
      <c r="M21" s="62">
        <f>+K21-G21</f>
        <v>98226.219999998808</v>
      </c>
    </row>
    <row r="22" spans="1:15" s="17" customFormat="1" x14ac:dyDescent="0.25">
      <c r="A22" s="96" t="s">
        <v>18</v>
      </c>
      <c r="B22" s="97">
        <v>9497181.3399999999</v>
      </c>
      <c r="C22" s="97">
        <f>9497181.34-8522902.7</f>
        <v>974278.6400000006</v>
      </c>
      <c r="D22" s="104">
        <v>0</v>
      </c>
      <c r="E22" s="97">
        <v>0</v>
      </c>
      <c r="F22" s="98">
        <f>+E22/C22</f>
        <v>0</v>
      </c>
      <c r="G22" s="97">
        <f>+C22+D22-E22</f>
        <v>974278.6400000006</v>
      </c>
      <c r="H22" s="99">
        <f>781984.35-0.47</f>
        <v>781983.88</v>
      </c>
      <c r="I22" s="100">
        <f>22013.2+172259.48</f>
        <v>194272.68000000002</v>
      </c>
      <c r="J22" s="100">
        <f>-4302.52+6280.44</f>
        <v>1977.9199999999992</v>
      </c>
      <c r="K22" s="100">
        <f>H22+I22-J22</f>
        <v>974278.64</v>
      </c>
      <c r="L22" s="101">
        <f>+F22</f>
        <v>0</v>
      </c>
      <c r="M22" s="103">
        <f t="shared" ref="M22:M31" si="6">+K22-G22</f>
        <v>0</v>
      </c>
      <c r="N22" s="105"/>
    </row>
    <row r="23" spans="1:15" x14ac:dyDescent="0.2">
      <c r="A23" s="9" t="s">
        <v>20</v>
      </c>
      <c r="B23" s="10">
        <v>28461059.77</v>
      </c>
      <c r="C23" s="10">
        <f>+B23-27479996.23</f>
        <v>981063.53999999911</v>
      </c>
      <c r="D23" s="11">
        <v>0</v>
      </c>
      <c r="E23" s="10">
        <v>4102.54</v>
      </c>
      <c r="F23" s="12">
        <f t="shared" ref="F23:F33" si="7">+E23/C23</f>
        <v>4.1817271081137147E-3</v>
      </c>
      <c r="G23" s="10">
        <f>+C23+D23-E23</f>
        <v>976960.99999999907</v>
      </c>
      <c r="H23" s="13">
        <f>170500+1795340.56</f>
        <v>1965840.56</v>
      </c>
      <c r="I23" s="14">
        <v>1162</v>
      </c>
      <c r="J23" s="14">
        <f>272555.03+160187.53+557299</f>
        <v>990041.56</v>
      </c>
      <c r="K23" s="14">
        <f t="shared" ref="K23:K82" si="8">H23+I23-J23</f>
        <v>976961</v>
      </c>
      <c r="L23" s="15">
        <f t="shared" ref="L23:L34" si="9">+F23</f>
        <v>4.1817271081137147E-3</v>
      </c>
      <c r="M23" s="71">
        <f t="shared" si="6"/>
        <v>9.3132257461547852E-10</v>
      </c>
      <c r="N23" s="93"/>
    </row>
    <row r="24" spans="1:15" x14ac:dyDescent="0.2">
      <c r="A24" s="96" t="s">
        <v>21</v>
      </c>
      <c r="B24" s="97">
        <v>266576.99</v>
      </c>
      <c r="C24" s="97">
        <f>266576.99-80893</f>
        <v>185683.99</v>
      </c>
      <c r="D24" s="104">
        <v>553.15</v>
      </c>
      <c r="E24" s="97">
        <v>12161.55</v>
      </c>
      <c r="F24" s="98">
        <f t="shared" si="7"/>
        <v>6.5495953636067389E-2</v>
      </c>
      <c r="G24" s="97">
        <f>+C24+D24-E24</f>
        <v>174075.59</v>
      </c>
      <c r="H24" s="99">
        <v>174075.59</v>
      </c>
      <c r="I24" s="100">
        <v>0</v>
      </c>
      <c r="J24" s="100">
        <v>0</v>
      </c>
      <c r="K24" s="100">
        <f t="shared" si="8"/>
        <v>174075.59</v>
      </c>
      <c r="L24" s="101">
        <f t="shared" si="9"/>
        <v>6.5495953636067389E-2</v>
      </c>
      <c r="M24" s="103">
        <f t="shared" si="6"/>
        <v>0</v>
      </c>
      <c r="N24" s="82"/>
    </row>
    <row r="25" spans="1:15" x14ac:dyDescent="0.2">
      <c r="A25" s="9" t="s">
        <v>22</v>
      </c>
      <c r="B25" s="10">
        <v>757786.85</v>
      </c>
      <c r="C25" s="10">
        <f>375412.66-201977</f>
        <v>173435.65999999997</v>
      </c>
      <c r="D25" s="10">
        <v>553.37</v>
      </c>
      <c r="E25" s="10">
        <v>0</v>
      </c>
      <c r="F25" s="12">
        <f t="shared" si="7"/>
        <v>0</v>
      </c>
      <c r="G25" s="10">
        <f t="shared" ref="G25:G31" si="10">+C25+D25-E25</f>
        <v>173989.02999999997</v>
      </c>
      <c r="H25" s="13">
        <v>174138.54</v>
      </c>
      <c r="I25" s="14">
        <v>0</v>
      </c>
      <c r="J25" s="14">
        <v>0</v>
      </c>
      <c r="K25" s="14">
        <f t="shared" si="8"/>
        <v>174138.54</v>
      </c>
      <c r="L25" s="15">
        <f t="shared" si="9"/>
        <v>0</v>
      </c>
      <c r="M25" s="95">
        <f t="shared" si="6"/>
        <v>149.51000000003842</v>
      </c>
    </row>
    <row r="26" spans="1:15" x14ac:dyDescent="0.2">
      <c r="A26" s="96" t="s">
        <v>23</v>
      </c>
      <c r="B26" s="97">
        <v>919872.2</v>
      </c>
      <c r="C26" s="97">
        <f>1302246.39-788192.61</f>
        <v>514053.77999999991</v>
      </c>
      <c r="D26" s="97">
        <v>408.58</v>
      </c>
      <c r="E26" s="97">
        <v>455516.24</v>
      </c>
      <c r="F26" s="98">
        <f t="shared" si="7"/>
        <v>0.88612565012166644</v>
      </c>
      <c r="G26" s="97">
        <f t="shared" si="10"/>
        <v>58946.119999999937</v>
      </c>
      <c r="H26" s="99">
        <v>58946.12</v>
      </c>
      <c r="I26" s="100">
        <v>0</v>
      </c>
      <c r="J26" s="100">
        <v>0</v>
      </c>
      <c r="K26" s="100">
        <f t="shared" si="8"/>
        <v>58946.12</v>
      </c>
      <c r="L26" s="101">
        <f t="shared" si="9"/>
        <v>0.88612565012166644</v>
      </c>
      <c r="M26" s="103">
        <f t="shared" si="6"/>
        <v>6.5483618527650833E-11</v>
      </c>
      <c r="N26" s="82"/>
    </row>
    <row r="27" spans="1:15" x14ac:dyDescent="0.2">
      <c r="A27" s="9" t="s">
        <v>24</v>
      </c>
      <c r="B27" s="10">
        <v>0</v>
      </c>
      <c r="C27" s="10">
        <f>13636634.35-13212786.17-9513.63</f>
        <v>414334.5499999997</v>
      </c>
      <c r="D27" s="11">
        <v>0</v>
      </c>
      <c r="E27" s="10">
        <v>0</v>
      </c>
      <c r="F27" s="12">
        <f t="shared" si="7"/>
        <v>0</v>
      </c>
      <c r="G27" s="10">
        <f>+C27+D27-E27</f>
        <v>414334.5499999997</v>
      </c>
      <c r="H27" s="13">
        <v>38498.339999999997</v>
      </c>
      <c r="I27" s="14">
        <v>457357</v>
      </c>
      <c r="J27" s="14">
        <f>52394.42+7312.79+22272.58</f>
        <v>81979.790000000008</v>
      </c>
      <c r="K27" s="14">
        <f t="shared" si="8"/>
        <v>413875.54999999993</v>
      </c>
      <c r="L27" s="15">
        <f t="shared" si="9"/>
        <v>0</v>
      </c>
      <c r="M27" s="61">
        <f t="shared" si="6"/>
        <v>-458.99999999976717</v>
      </c>
    </row>
    <row r="28" spans="1:15" x14ac:dyDescent="0.2">
      <c r="A28" s="96" t="s">
        <v>25</v>
      </c>
      <c r="B28" s="97">
        <v>868753.03</v>
      </c>
      <c r="C28" s="97">
        <f>868753.03-542712.97</f>
        <v>326040.06000000006</v>
      </c>
      <c r="D28" s="97">
        <v>1039.79</v>
      </c>
      <c r="E28" s="97">
        <v>0</v>
      </c>
      <c r="F28" s="98">
        <f t="shared" si="7"/>
        <v>0</v>
      </c>
      <c r="G28" s="97">
        <f t="shared" si="10"/>
        <v>327079.85000000003</v>
      </c>
      <c r="H28" s="99">
        <v>327211.15999999997</v>
      </c>
      <c r="I28" s="100">
        <v>0</v>
      </c>
      <c r="J28" s="100">
        <v>0</v>
      </c>
      <c r="K28" s="100">
        <f t="shared" si="8"/>
        <v>327211.15999999997</v>
      </c>
      <c r="L28" s="101">
        <f t="shared" si="9"/>
        <v>0</v>
      </c>
      <c r="M28" s="102">
        <f t="shared" si="6"/>
        <v>131.30999999993946</v>
      </c>
    </row>
    <row r="29" spans="1:15" x14ac:dyDescent="0.2">
      <c r="A29" s="9" t="s">
        <v>27</v>
      </c>
      <c r="B29" s="10">
        <v>573447.68000000005</v>
      </c>
      <c r="C29" s="10">
        <f>573447.69-569680.32</f>
        <v>3767.3699999999953</v>
      </c>
      <c r="D29" s="11">
        <v>0</v>
      </c>
      <c r="E29" s="10">
        <v>0</v>
      </c>
      <c r="F29" s="12">
        <f t="shared" si="7"/>
        <v>0</v>
      </c>
      <c r="G29" s="10">
        <f t="shared" si="10"/>
        <v>3767.3699999999953</v>
      </c>
      <c r="H29" s="13">
        <v>3767.37</v>
      </c>
      <c r="I29" s="14">
        <v>0</v>
      </c>
      <c r="J29" s="14">
        <v>0</v>
      </c>
      <c r="K29" s="14">
        <f t="shared" si="8"/>
        <v>3767.37</v>
      </c>
      <c r="L29" s="15">
        <f t="shared" si="9"/>
        <v>0</v>
      </c>
      <c r="M29" s="71">
        <f t="shared" si="6"/>
        <v>4.5474735088646412E-12</v>
      </c>
      <c r="N29" s="82"/>
    </row>
    <row r="30" spans="1:15" x14ac:dyDescent="0.2">
      <c r="A30" s="96" t="s">
        <v>28</v>
      </c>
      <c r="B30" s="97">
        <v>36484.65</v>
      </c>
      <c r="C30" s="97">
        <f>36484.65+12161.55</f>
        <v>48646.2</v>
      </c>
      <c r="D30" s="104">
        <v>0</v>
      </c>
      <c r="E30" s="97">
        <v>0</v>
      </c>
      <c r="F30" s="98">
        <f t="shared" si="7"/>
        <v>0</v>
      </c>
      <c r="G30" s="97">
        <f t="shared" si="10"/>
        <v>48646.2</v>
      </c>
      <c r="H30" s="99">
        <v>48646.2</v>
      </c>
      <c r="I30" s="100">
        <v>0</v>
      </c>
      <c r="J30" s="100">
        <v>0</v>
      </c>
      <c r="K30" s="100">
        <f t="shared" si="8"/>
        <v>48646.2</v>
      </c>
      <c r="L30" s="101">
        <f t="shared" si="9"/>
        <v>0</v>
      </c>
      <c r="M30" s="103">
        <f t="shared" si="6"/>
        <v>0</v>
      </c>
      <c r="N30" s="82"/>
    </row>
    <row r="31" spans="1:15" x14ac:dyDescent="0.2">
      <c r="A31" s="9" t="s">
        <v>29</v>
      </c>
      <c r="B31" s="10">
        <v>25802087</v>
      </c>
      <c r="C31" s="10">
        <f>25802087+2061.7-21535015.98</f>
        <v>4269132.7199999988</v>
      </c>
      <c r="D31" s="45"/>
      <c r="E31" s="10">
        <v>2579664.27</v>
      </c>
      <c r="F31" s="12">
        <f t="shared" si="7"/>
        <v>0.60425956258394342</v>
      </c>
      <c r="G31" s="10">
        <f t="shared" si="10"/>
        <v>1689468.4499999988</v>
      </c>
      <c r="H31" s="13">
        <f>2969046.34-1185122.76</f>
        <v>1783923.5799999998</v>
      </c>
      <c r="I31" s="14">
        <v>122706</v>
      </c>
      <c r="J31" s="14">
        <f>20016.25+101558.56+73295.32+22291.07</f>
        <v>217161.2</v>
      </c>
      <c r="K31" s="14">
        <f>H31+I31-J31</f>
        <v>1689468.38</v>
      </c>
      <c r="L31" s="15">
        <f t="shared" si="9"/>
        <v>0.60425956258394342</v>
      </c>
      <c r="M31" s="95">
        <f t="shared" si="6"/>
        <v>-6.9999998901039362E-2</v>
      </c>
      <c r="N31" s="18"/>
      <c r="O31" s="18"/>
    </row>
    <row r="32" spans="1:15" x14ac:dyDescent="0.2">
      <c r="A32" s="96" t="s">
        <v>30</v>
      </c>
      <c r="B32" s="97">
        <v>0</v>
      </c>
      <c r="C32" s="97">
        <f>19272341-17976826.68-1101765.3</f>
        <v>193749.02000000025</v>
      </c>
      <c r="D32" s="97">
        <v>0</v>
      </c>
      <c r="E32" s="97">
        <v>0</v>
      </c>
      <c r="F32" s="98">
        <f t="shared" si="7"/>
        <v>0</v>
      </c>
      <c r="G32" s="97">
        <f>+C32+D32-E32</f>
        <v>193749.02000000025</v>
      </c>
      <c r="H32" s="99">
        <v>167473.73000000001</v>
      </c>
      <c r="I32" s="100">
        <v>296402</v>
      </c>
      <c r="J32" s="100">
        <f>26299+244312.48</f>
        <v>270611.48</v>
      </c>
      <c r="K32" s="100">
        <f>H32+I32-J32</f>
        <v>193264.25</v>
      </c>
      <c r="L32" s="101">
        <f t="shared" si="9"/>
        <v>0</v>
      </c>
      <c r="M32" s="102">
        <f>+K32-G32</f>
        <v>-484.77000000025146</v>
      </c>
      <c r="N32" s="19"/>
      <c r="O32" s="18"/>
    </row>
    <row r="33" spans="1:14" x14ac:dyDescent="0.2">
      <c r="A33" s="9" t="s">
        <v>31</v>
      </c>
      <c r="B33" s="10">
        <v>0</v>
      </c>
      <c r="C33" s="10">
        <v>700000</v>
      </c>
      <c r="D33" s="11">
        <v>0</v>
      </c>
      <c r="E33" s="10">
        <v>700000</v>
      </c>
      <c r="F33" s="12">
        <f t="shared" si="7"/>
        <v>1</v>
      </c>
      <c r="G33" s="11">
        <v>0</v>
      </c>
      <c r="H33" s="13">
        <v>9956.9</v>
      </c>
      <c r="I33" s="14">
        <v>0</v>
      </c>
      <c r="J33" s="14">
        <f>6034.48+3017.24+905.18</f>
        <v>9956.9</v>
      </c>
      <c r="K33" s="14">
        <f t="shared" si="8"/>
        <v>0</v>
      </c>
      <c r="L33" s="15">
        <f t="shared" si="9"/>
        <v>1</v>
      </c>
      <c r="M33" s="71">
        <f t="shared" ref="M33:M94" si="11">+K33-G33</f>
        <v>0</v>
      </c>
      <c r="N33" s="82"/>
    </row>
    <row r="34" spans="1:14" x14ac:dyDescent="0.2">
      <c r="A34" s="96" t="s">
        <v>32</v>
      </c>
      <c r="B34" s="97">
        <v>1483500</v>
      </c>
      <c r="C34" s="97">
        <v>1483500</v>
      </c>
      <c r="D34" s="104">
        <v>0</v>
      </c>
      <c r="E34" s="97">
        <v>1483500</v>
      </c>
      <c r="F34" s="98">
        <f>+E34/C34</f>
        <v>1</v>
      </c>
      <c r="G34" s="104">
        <v>0</v>
      </c>
      <c r="H34" s="99">
        <v>21101.51</v>
      </c>
      <c r="I34" s="100">
        <v>0</v>
      </c>
      <c r="J34" s="100">
        <f>12788.79+6394.4+1918.32</f>
        <v>21101.510000000002</v>
      </c>
      <c r="K34" s="100">
        <f t="shared" si="8"/>
        <v>0</v>
      </c>
      <c r="L34" s="101">
        <f t="shared" si="9"/>
        <v>1</v>
      </c>
      <c r="M34" s="103">
        <f t="shared" si="11"/>
        <v>0</v>
      </c>
      <c r="N34" s="82"/>
    </row>
    <row r="35" spans="1:14" s="5" customFormat="1" x14ac:dyDescent="0.2">
      <c r="A35" s="20" t="s">
        <v>33</v>
      </c>
      <c r="B35" s="21">
        <f>SUM(B22:B34)</f>
        <v>68666749.510000005</v>
      </c>
      <c r="C35" s="21">
        <f>SUM(C22:C34)</f>
        <v>10267685.529999999</v>
      </c>
      <c r="D35" s="21">
        <f>SUM(D22:D34)</f>
        <v>2554.89</v>
      </c>
      <c r="E35" s="21">
        <f>SUM(E22:E34)</f>
        <v>5234944.5999999996</v>
      </c>
      <c r="F35" s="22">
        <f>+E35/C35</f>
        <v>0.50984660415481187</v>
      </c>
      <c r="G35" s="21">
        <f>SUM(G22:G34)</f>
        <v>5035295.8199999994</v>
      </c>
      <c r="H35" s="21">
        <f>SUM(H22:H34)</f>
        <v>5555563.4800000004</v>
      </c>
      <c r="I35" s="21">
        <f>SUM(I22:I34)</f>
        <v>1071899.6800000002</v>
      </c>
      <c r="J35" s="21">
        <f>SUM(J22:J34)</f>
        <v>1592830.3599999999</v>
      </c>
      <c r="K35" s="21">
        <f>SUM(K22:K34)</f>
        <v>5034632.8000000007</v>
      </c>
      <c r="L35" s="23"/>
      <c r="M35" s="95">
        <f t="shared" si="11"/>
        <v>-663.01999999862164</v>
      </c>
    </row>
    <row r="36" spans="1:14" x14ac:dyDescent="0.2">
      <c r="A36" s="9" t="s">
        <v>18</v>
      </c>
      <c r="B36" s="10">
        <v>0</v>
      </c>
      <c r="C36" s="10">
        <v>0</v>
      </c>
      <c r="D36" s="13"/>
      <c r="E36" s="10">
        <v>0</v>
      </c>
      <c r="F36" s="12">
        <v>0</v>
      </c>
      <c r="G36" s="10">
        <v>4283.6000000000004</v>
      </c>
      <c r="H36" s="10">
        <v>32268.68</v>
      </c>
      <c r="I36" s="10">
        <v>0</v>
      </c>
      <c r="J36" s="10">
        <v>27985.08</v>
      </c>
      <c r="K36" s="10">
        <f t="shared" si="8"/>
        <v>4283.5999999999985</v>
      </c>
      <c r="L36" s="15"/>
      <c r="M36" s="95">
        <f t="shared" si="11"/>
        <v>0</v>
      </c>
    </row>
    <row r="37" spans="1:14" x14ac:dyDescent="0.2">
      <c r="A37" s="9" t="s">
        <v>20</v>
      </c>
      <c r="B37" s="10">
        <v>0</v>
      </c>
      <c r="C37" s="10">
        <v>0</v>
      </c>
      <c r="D37" s="13"/>
      <c r="E37" s="10">
        <v>0</v>
      </c>
      <c r="F37" s="12">
        <v>0</v>
      </c>
      <c r="G37" s="10">
        <v>45477.47</v>
      </c>
      <c r="H37" s="10">
        <v>45477.47</v>
      </c>
      <c r="I37" s="10">
        <v>0</v>
      </c>
      <c r="J37" s="10">
        <v>0</v>
      </c>
      <c r="K37" s="10">
        <f t="shared" si="8"/>
        <v>45477.47</v>
      </c>
      <c r="L37" s="15"/>
      <c r="M37" s="95">
        <f t="shared" si="11"/>
        <v>0</v>
      </c>
    </row>
    <row r="38" spans="1:14" x14ac:dyDescent="0.2">
      <c r="A38" s="9" t="s">
        <v>25</v>
      </c>
      <c r="B38" s="10">
        <v>0</v>
      </c>
      <c r="C38" s="10">
        <v>0</v>
      </c>
      <c r="D38" s="13"/>
      <c r="E38" s="10">
        <v>0</v>
      </c>
      <c r="F38" s="12">
        <v>0</v>
      </c>
      <c r="G38" s="10">
        <v>45082.35</v>
      </c>
      <c r="H38" s="10">
        <v>45082.35</v>
      </c>
      <c r="I38" s="10">
        <v>0</v>
      </c>
      <c r="J38" s="10">
        <v>0</v>
      </c>
      <c r="K38" s="10">
        <f t="shared" si="8"/>
        <v>45082.35</v>
      </c>
      <c r="L38" s="15"/>
      <c r="M38" s="95">
        <f t="shared" si="11"/>
        <v>0</v>
      </c>
    </row>
    <row r="39" spans="1:14" x14ac:dyDescent="0.2">
      <c r="A39" s="9" t="s">
        <v>26</v>
      </c>
      <c r="B39" s="10">
        <v>0</v>
      </c>
      <c r="C39" s="10">
        <v>0</v>
      </c>
      <c r="D39" s="13"/>
      <c r="E39" s="10">
        <v>0</v>
      </c>
      <c r="F39" s="12">
        <v>0</v>
      </c>
      <c r="G39" s="10">
        <v>220218.16</v>
      </c>
      <c r="H39" s="10">
        <v>20218.16</v>
      </c>
      <c r="I39" s="10">
        <v>200000</v>
      </c>
      <c r="J39" s="10">
        <v>0</v>
      </c>
      <c r="K39" s="10">
        <f t="shared" si="8"/>
        <v>220218.16</v>
      </c>
      <c r="L39" s="15"/>
      <c r="M39" s="95">
        <f t="shared" si="11"/>
        <v>0</v>
      </c>
    </row>
    <row r="40" spans="1:14" x14ac:dyDescent="0.2">
      <c r="A40" s="9" t="s">
        <v>29</v>
      </c>
      <c r="B40" s="10">
        <v>0</v>
      </c>
      <c r="C40" s="10">
        <v>0</v>
      </c>
      <c r="D40" s="11">
        <v>0</v>
      </c>
      <c r="E40" s="10">
        <v>0</v>
      </c>
      <c r="F40" s="12">
        <v>0</v>
      </c>
      <c r="G40" s="10">
        <v>2494385.7599999998</v>
      </c>
      <c r="H40" s="10">
        <f>66.53+2511998.64</f>
        <v>2512065.17</v>
      </c>
      <c r="I40" s="10">
        <v>0</v>
      </c>
      <c r="J40" s="10">
        <v>17679.41</v>
      </c>
      <c r="K40" s="10">
        <f t="shared" si="8"/>
        <v>2494385.7599999998</v>
      </c>
      <c r="L40" s="15"/>
      <c r="M40" s="95">
        <f t="shared" si="11"/>
        <v>0</v>
      </c>
    </row>
    <row r="41" spans="1:14" ht="27" x14ac:dyDescent="0.2">
      <c r="A41" s="9" t="s">
        <v>34</v>
      </c>
      <c r="B41" s="10">
        <v>0</v>
      </c>
      <c r="C41" s="10">
        <v>154782.26</v>
      </c>
      <c r="D41" s="13">
        <v>0</v>
      </c>
      <c r="E41" s="10">
        <v>0</v>
      </c>
      <c r="F41" s="12">
        <v>0</v>
      </c>
      <c r="G41" s="10">
        <f>+C41+D41-E41</f>
        <v>154782.26</v>
      </c>
      <c r="H41" s="10">
        <v>237102.37</v>
      </c>
      <c r="I41" s="10">
        <v>0</v>
      </c>
      <c r="J41" s="10">
        <v>82320.11</v>
      </c>
      <c r="K41" s="10">
        <f t="shared" si="8"/>
        <v>154782.26</v>
      </c>
      <c r="L41" s="15"/>
      <c r="M41" s="95">
        <f t="shared" si="11"/>
        <v>0</v>
      </c>
    </row>
    <row r="42" spans="1:14" x14ac:dyDescent="0.2">
      <c r="A42" s="9"/>
      <c r="B42" s="10">
        <v>0</v>
      </c>
      <c r="C42" s="10">
        <v>0</v>
      </c>
      <c r="D42" s="10"/>
      <c r="E42" s="10">
        <v>0</v>
      </c>
      <c r="F42" s="12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8"/>
        <v>0</v>
      </c>
      <c r="L42" s="15"/>
      <c r="M42" s="95">
        <f t="shared" si="11"/>
        <v>0</v>
      </c>
    </row>
    <row r="43" spans="1:14" x14ac:dyDescent="0.2">
      <c r="A43" s="24" t="s">
        <v>35</v>
      </c>
      <c r="B43" s="25">
        <f>SUM(B36:B42)</f>
        <v>0</v>
      </c>
      <c r="C43" s="25">
        <f t="shared" ref="C43:K43" si="12">SUM(C36:C42)</f>
        <v>154782.26</v>
      </c>
      <c r="D43" s="25">
        <f t="shared" si="12"/>
        <v>0</v>
      </c>
      <c r="E43" s="25">
        <f t="shared" si="12"/>
        <v>0</v>
      </c>
      <c r="F43" s="25">
        <f t="shared" si="12"/>
        <v>0</v>
      </c>
      <c r="G43" s="25">
        <f t="shared" si="12"/>
        <v>2964229.5999999996</v>
      </c>
      <c r="H43" s="25">
        <f t="shared" si="12"/>
        <v>2892214.2</v>
      </c>
      <c r="I43" s="25">
        <f t="shared" si="12"/>
        <v>200000</v>
      </c>
      <c r="J43" s="25">
        <f t="shared" si="12"/>
        <v>127984.6</v>
      </c>
      <c r="K43" s="25">
        <f t="shared" si="12"/>
        <v>2964229.5999999996</v>
      </c>
      <c r="L43" s="27"/>
      <c r="M43" s="95">
        <f t="shared" si="11"/>
        <v>0</v>
      </c>
    </row>
    <row r="44" spans="1:14" x14ac:dyDescent="0.2">
      <c r="A44" s="9" t="s">
        <v>18</v>
      </c>
      <c r="B44" s="10">
        <v>0</v>
      </c>
      <c r="C44" s="10">
        <v>0</v>
      </c>
      <c r="D44" s="10"/>
      <c r="E44" s="10">
        <v>0</v>
      </c>
      <c r="F44" s="12">
        <v>0</v>
      </c>
      <c r="G44" s="10">
        <v>57064.89</v>
      </c>
      <c r="H44" s="10">
        <v>132233.86000000002</v>
      </c>
      <c r="I44" s="10">
        <v>185.03</v>
      </c>
      <c r="J44" s="10">
        <v>75354</v>
      </c>
      <c r="K44" s="10">
        <f t="shared" si="8"/>
        <v>57064.890000000014</v>
      </c>
      <c r="L44" s="15"/>
      <c r="M44" s="95">
        <f t="shared" si="11"/>
        <v>0</v>
      </c>
    </row>
    <row r="45" spans="1:14" x14ac:dyDescent="0.2">
      <c r="A45" s="9" t="s">
        <v>36</v>
      </c>
      <c r="B45" s="10">
        <v>0</v>
      </c>
      <c r="C45" s="10">
        <v>0</v>
      </c>
      <c r="D45" s="10"/>
      <c r="E45" s="10">
        <v>0</v>
      </c>
      <c r="F45" s="12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8"/>
        <v>0</v>
      </c>
      <c r="L45" s="15"/>
      <c r="M45" s="95">
        <f t="shared" si="11"/>
        <v>0</v>
      </c>
    </row>
    <row r="46" spans="1:14" x14ac:dyDescent="0.2">
      <c r="A46" s="9" t="s">
        <v>20</v>
      </c>
      <c r="B46" s="10">
        <v>0</v>
      </c>
      <c r="C46" s="10">
        <v>0</v>
      </c>
      <c r="D46" s="10"/>
      <c r="E46" s="10">
        <v>0</v>
      </c>
      <c r="F46" s="12">
        <v>0</v>
      </c>
      <c r="G46" s="10">
        <v>54914.5</v>
      </c>
      <c r="H46" s="10">
        <v>51501.9</v>
      </c>
      <c r="I46" s="10">
        <v>0</v>
      </c>
      <c r="J46" s="10">
        <v>-3412.6000000000931</v>
      </c>
      <c r="K46" s="10">
        <f t="shared" si="8"/>
        <v>54914.500000000095</v>
      </c>
      <c r="L46" s="15"/>
      <c r="M46" s="95">
        <f t="shared" si="11"/>
        <v>9.4587448984384537E-11</v>
      </c>
    </row>
    <row r="47" spans="1:14" x14ac:dyDescent="0.2">
      <c r="A47" s="9" t="s">
        <v>21</v>
      </c>
      <c r="B47" s="10">
        <v>0</v>
      </c>
      <c r="C47" s="10">
        <v>0</v>
      </c>
      <c r="D47" s="10"/>
      <c r="E47" s="10">
        <v>0</v>
      </c>
      <c r="F47" s="12">
        <v>0</v>
      </c>
      <c r="G47" s="10">
        <v>5979.07</v>
      </c>
      <c r="H47" s="10">
        <v>5979.07</v>
      </c>
      <c r="I47" s="10">
        <v>0</v>
      </c>
      <c r="J47" s="10">
        <v>0</v>
      </c>
      <c r="K47" s="10">
        <f t="shared" si="8"/>
        <v>5979.07</v>
      </c>
      <c r="L47" s="15"/>
      <c r="M47" s="95">
        <f t="shared" si="11"/>
        <v>0</v>
      </c>
    </row>
    <row r="48" spans="1:14" x14ac:dyDescent="0.2">
      <c r="A48" s="9" t="s">
        <v>22</v>
      </c>
      <c r="B48" s="10">
        <v>0</v>
      </c>
      <c r="C48" s="10">
        <v>0</v>
      </c>
      <c r="D48" s="10"/>
      <c r="E48" s="10">
        <v>0</v>
      </c>
      <c r="F48" s="12">
        <v>0</v>
      </c>
      <c r="G48" s="10">
        <v>60932.3</v>
      </c>
      <c r="H48" s="10">
        <v>60932.3</v>
      </c>
      <c r="I48" s="10">
        <v>0</v>
      </c>
      <c r="J48" s="10">
        <v>0</v>
      </c>
      <c r="K48" s="10">
        <f t="shared" si="8"/>
        <v>60932.3</v>
      </c>
      <c r="L48" s="15"/>
      <c r="M48" s="95">
        <f t="shared" si="11"/>
        <v>0</v>
      </c>
    </row>
    <row r="49" spans="1:13" x14ac:dyDescent="0.2">
      <c r="A49" s="9" t="s">
        <v>24</v>
      </c>
      <c r="B49" s="10">
        <v>0</v>
      </c>
      <c r="C49" s="10">
        <v>0</v>
      </c>
      <c r="D49" s="10"/>
      <c r="E49" s="10">
        <v>0</v>
      </c>
      <c r="F49" s="12">
        <v>0</v>
      </c>
      <c r="G49" s="10">
        <v>17486.5</v>
      </c>
      <c r="H49" s="10">
        <v>17486.5</v>
      </c>
      <c r="I49" s="10">
        <v>0</v>
      </c>
      <c r="J49" s="10">
        <v>0</v>
      </c>
      <c r="K49" s="10">
        <f t="shared" si="8"/>
        <v>17486.5</v>
      </c>
      <c r="L49" s="15"/>
      <c r="M49" s="95">
        <f t="shared" si="11"/>
        <v>0</v>
      </c>
    </row>
    <row r="50" spans="1:13" x14ac:dyDescent="0.2">
      <c r="A50" s="9" t="s">
        <v>25</v>
      </c>
      <c r="B50" s="10">
        <v>0</v>
      </c>
      <c r="C50" s="10">
        <v>0</v>
      </c>
      <c r="D50" s="10"/>
      <c r="E50" s="10">
        <v>0</v>
      </c>
      <c r="F50" s="12">
        <v>0</v>
      </c>
      <c r="G50" s="10">
        <v>11051.67</v>
      </c>
      <c r="H50" s="10">
        <v>11051.67</v>
      </c>
      <c r="I50" s="10">
        <v>0</v>
      </c>
      <c r="J50" s="10">
        <v>0</v>
      </c>
      <c r="K50" s="10">
        <f t="shared" si="8"/>
        <v>11051.67</v>
      </c>
      <c r="L50" s="15"/>
      <c r="M50" s="95">
        <f t="shared" si="11"/>
        <v>0</v>
      </c>
    </row>
    <row r="51" spans="1:13" x14ac:dyDescent="0.2">
      <c r="A51" s="9" t="s">
        <v>29</v>
      </c>
      <c r="B51" s="10">
        <v>0</v>
      </c>
      <c r="C51" s="10">
        <v>0</v>
      </c>
      <c r="D51" s="10">
        <v>0</v>
      </c>
      <c r="E51" s="10">
        <v>0</v>
      </c>
      <c r="F51" s="12">
        <v>0</v>
      </c>
      <c r="G51" s="10">
        <v>148467.66</v>
      </c>
      <c r="H51" s="10">
        <v>158380.9</v>
      </c>
      <c r="I51" s="10"/>
      <c r="J51" s="10">
        <f>2876.27+7036.97</f>
        <v>9913.24</v>
      </c>
      <c r="K51" s="10">
        <f t="shared" si="8"/>
        <v>148467.66</v>
      </c>
      <c r="L51" s="15"/>
      <c r="M51" s="95">
        <f t="shared" si="11"/>
        <v>0</v>
      </c>
    </row>
    <row r="52" spans="1:13" x14ac:dyDescent="0.2">
      <c r="A52" s="9" t="s">
        <v>30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6199.68</v>
      </c>
      <c r="H52" s="10">
        <v>0</v>
      </c>
      <c r="I52" s="10">
        <v>6199.68</v>
      </c>
      <c r="J52" s="10">
        <v>0</v>
      </c>
      <c r="K52" s="10">
        <f t="shared" si="8"/>
        <v>6199.68</v>
      </c>
      <c r="L52" s="15"/>
      <c r="M52" s="95">
        <f t="shared" si="11"/>
        <v>0</v>
      </c>
    </row>
    <row r="53" spans="1:13" x14ac:dyDescent="0.2">
      <c r="A53" s="9">
        <v>3001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510.97</v>
      </c>
      <c r="H53" s="10">
        <v>696</v>
      </c>
      <c r="I53" s="10">
        <v>0</v>
      </c>
      <c r="J53" s="10">
        <v>185.03</v>
      </c>
      <c r="K53" s="10">
        <f t="shared" si="8"/>
        <v>510.97</v>
      </c>
      <c r="L53" s="15"/>
      <c r="M53" s="95">
        <f t="shared" si="11"/>
        <v>0</v>
      </c>
    </row>
    <row r="54" spans="1:13" x14ac:dyDescent="0.2">
      <c r="A54" s="9">
        <v>3002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64791.47</v>
      </c>
      <c r="H54" s="10">
        <v>64920.78</v>
      </c>
      <c r="I54" s="10">
        <v>0</v>
      </c>
      <c r="J54" s="10">
        <v>129.31</v>
      </c>
      <c r="K54" s="10">
        <f t="shared" si="8"/>
        <v>64791.47</v>
      </c>
      <c r="L54" s="15"/>
      <c r="M54" s="95">
        <f t="shared" si="11"/>
        <v>0</v>
      </c>
    </row>
    <row r="55" spans="1:13" x14ac:dyDescent="0.2">
      <c r="A55" s="9"/>
      <c r="B55" s="10">
        <v>0</v>
      </c>
      <c r="C55" s="10">
        <v>0</v>
      </c>
      <c r="D55" s="10"/>
      <c r="E55" s="10">
        <v>0</v>
      </c>
      <c r="F55" s="12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8"/>
        <v>0</v>
      </c>
      <c r="L55" s="15"/>
      <c r="M55" s="95">
        <f t="shared" si="11"/>
        <v>0</v>
      </c>
    </row>
    <row r="56" spans="1:13" x14ac:dyDescent="0.2">
      <c r="A56" s="24" t="s">
        <v>37</v>
      </c>
      <c r="B56" s="25">
        <f>SUM(B44:B55)</f>
        <v>0</v>
      </c>
      <c r="C56" s="25">
        <f t="shared" ref="C56:K56" si="13">SUM(C44:C55)</f>
        <v>0</v>
      </c>
      <c r="D56" s="25">
        <f t="shared" si="13"/>
        <v>0</v>
      </c>
      <c r="E56" s="25">
        <f t="shared" si="13"/>
        <v>0</v>
      </c>
      <c r="F56" s="25">
        <f t="shared" si="13"/>
        <v>0</v>
      </c>
      <c r="G56" s="25">
        <f t="shared" si="13"/>
        <v>427398.70999999996</v>
      </c>
      <c r="H56" s="25">
        <f t="shared" si="13"/>
        <v>503182.98</v>
      </c>
      <c r="I56" s="25">
        <f t="shared" si="13"/>
        <v>6384.71</v>
      </c>
      <c r="J56" s="25">
        <f t="shared" si="13"/>
        <v>82168.979999999909</v>
      </c>
      <c r="K56" s="25">
        <f t="shared" si="13"/>
        <v>427398.71000000008</v>
      </c>
      <c r="L56" s="27"/>
      <c r="M56" s="95">
        <f>+K56-G56</f>
        <v>0</v>
      </c>
    </row>
    <row r="57" spans="1:13" x14ac:dyDescent="0.2">
      <c r="A57" s="9" t="s">
        <v>18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38436.01</v>
      </c>
      <c r="H57" s="10">
        <v>62509.189999999988</v>
      </c>
      <c r="I57" s="10">
        <v>236626.82</v>
      </c>
      <c r="J57" s="10">
        <v>260700</v>
      </c>
      <c r="K57" s="10">
        <f t="shared" si="8"/>
        <v>38436.010000000009</v>
      </c>
      <c r="L57" s="15"/>
      <c r="M57" s="95">
        <f t="shared" si="11"/>
        <v>0</v>
      </c>
    </row>
    <row r="58" spans="1:13" x14ac:dyDescent="0.2">
      <c r="A58" s="9" t="s">
        <v>20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137672.87</v>
      </c>
      <c r="H58" s="10">
        <v>19069.32</v>
      </c>
      <c r="I58" s="10">
        <v>1797063.97</v>
      </c>
      <c r="J58" s="10">
        <v>1678460.42</v>
      </c>
      <c r="K58" s="10">
        <f t="shared" si="8"/>
        <v>137672.87000000011</v>
      </c>
      <c r="L58" s="15"/>
      <c r="M58" s="95">
        <f t="shared" si="11"/>
        <v>0</v>
      </c>
    </row>
    <row r="59" spans="1:13" x14ac:dyDescent="0.2">
      <c r="A59" s="9" t="s">
        <v>24</v>
      </c>
      <c r="B59" s="10">
        <v>0</v>
      </c>
      <c r="C59" s="10">
        <v>17884.25</v>
      </c>
      <c r="D59" s="10">
        <f>7.16+6.59</f>
        <v>13.75</v>
      </c>
      <c r="E59" s="10">
        <v>696</v>
      </c>
      <c r="F59" s="12">
        <v>0</v>
      </c>
      <c r="G59" s="10">
        <f>+C59+D59-E59</f>
        <v>17202</v>
      </c>
      <c r="H59" s="10">
        <v>17202</v>
      </c>
      <c r="I59" s="10">
        <v>0</v>
      </c>
      <c r="J59" s="10">
        <v>0</v>
      </c>
      <c r="K59" s="10">
        <f t="shared" si="8"/>
        <v>17202</v>
      </c>
      <c r="L59" s="15"/>
      <c r="M59" s="62">
        <f t="shared" si="11"/>
        <v>0</v>
      </c>
    </row>
    <row r="60" spans="1:13" x14ac:dyDescent="0.2">
      <c r="A60" s="9" t="s">
        <v>25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18649.8</v>
      </c>
      <c r="H60" s="10">
        <v>40388.06</v>
      </c>
      <c r="I60" s="10">
        <v>100000</v>
      </c>
      <c r="J60" s="10">
        <v>121738.26</v>
      </c>
      <c r="K60" s="10">
        <f t="shared" si="8"/>
        <v>18649.800000000003</v>
      </c>
      <c r="L60" s="15"/>
      <c r="M60" s="95">
        <f t="shared" si="11"/>
        <v>0</v>
      </c>
    </row>
    <row r="61" spans="1:13" x14ac:dyDescent="0.2">
      <c r="A61" s="9" t="s">
        <v>29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337850.79</v>
      </c>
      <c r="H61" s="10">
        <v>419631.03</v>
      </c>
      <c r="I61" s="10">
        <v>-7.49</v>
      </c>
      <c r="J61" s="10">
        <v>81772.75</v>
      </c>
      <c r="K61" s="10">
        <f t="shared" si="8"/>
        <v>337850.79000000004</v>
      </c>
      <c r="L61" s="15"/>
      <c r="M61" s="95">
        <f t="shared" si="11"/>
        <v>0</v>
      </c>
    </row>
    <row r="62" spans="1:13" x14ac:dyDescent="0.2">
      <c r="A62" s="9" t="s">
        <v>30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0</v>
      </c>
      <c r="H62" s="10">
        <v>538779.80000000005</v>
      </c>
      <c r="I62" s="10">
        <v>0</v>
      </c>
      <c r="J62" s="10">
        <v>538779.80000000005</v>
      </c>
      <c r="K62" s="10">
        <f t="shared" si="8"/>
        <v>0</v>
      </c>
      <c r="L62" s="15"/>
      <c r="M62" s="95">
        <f t="shared" si="11"/>
        <v>0</v>
      </c>
    </row>
    <row r="63" spans="1:13" x14ac:dyDescent="0.2">
      <c r="A63" s="9">
        <v>3001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314.99</v>
      </c>
      <c r="H63" s="10">
        <v>315</v>
      </c>
      <c r="I63" s="10">
        <v>0</v>
      </c>
      <c r="J63" s="10">
        <v>0.01</v>
      </c>
      <c r="K63" s="10">
        <f t="shared" si="8"/>
        <v>314.99</v>
      </c>
      <c r="L63" s="15"/>
      <c r="M63" s="95">
        <f t="shared" si="11"/>
        <v>0</v>
      </c>
    </row>
    <row r="64" spans="1:13" x14ac:dyDescent="0.2">
      <c r="A64" s="9">
        <v>3002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12858.9</v>
      </c>
      <c r="H64" s="10">
        <v>12858.91</v>
      </c>
      <c r="I64" s="10">
        <v>0</v>
      </c>
      <c r="J64" s="10">
        <v>0.01</v>
      </c>
      <c r="K64" s="10">
        <f t="shared" si="8"/>
        <v>12858.9</v>
      </c>
      <c r="L64" s="15"/>
      <c r="M64" s="95">
        <f t="shared" si="11"/>
        <v>0</v>
      </c>
    </row>
    <row r="65" spans="1:13" x14ac:dyDescent="0.2">
      <c r="A65" s="9"/>
      <c r="B65" s="10">
        <v>0</v>
      </c>
      <c r="C65" s="10">
        <v>0</v>
      </c>
      <c r="D65" s="10"/>
      <c r="E65" s="10">
        <v>0</v>
      </c>
      <c r="F65" s="12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8"/>
        <v>0</v>
      </c>
      <c r="L65" s="15"/>
      <c r="M65" s="95">
        <f t="shared" si="11"/>
        <v>0</v>
      </c>
    </row>
    <row r="66" spans="1:13" x14ac:dyDescent="0.2">
      <c r="A66" s="24" t="s">
        <v>38</v>
      </c>
      <c r="B66" s="25">
        <f>SUM(B57:B65)</f>
        <v>0</v>
      </c>
      <c r="C66" s="25">
        <f t="shared" ref="C66:K66" si="14">SUM(C57:C65)</f>
        <v>17884.25</v>
      </c>
      <c r="D66" s="25">
        <f t="shared" si="14"/>
        <v>13.75</v>
      </c>
      <c r="E66" s="25">
        <f t="shared" si="14"/>
        <v>696</v>
      </c>
      <c r="F66" s="25">
        <f t="shared" si="14"/>
        <v>0</v>
      </c>
      <c r="G66" s="25">
        <f t="shared" si="14"/>
        <v>562985.36</v>
      </c>
      <c r="H66" s="25">
        <f t="shared" si="14"/>
        <v>1110753.3099999998</v>
      </c>
      <c r="I66" s="25">
        <f t="shared" si="14"/>
        <v>2133683.2999999998</v>
      </c>
      <c r="J66" s="25">
        <f t="shared" si="14"/>
        <v>2681451.2499999991</v>
      </c>
      <c r="K66" s="25">
        <f t="shared" si="14"/>
        <v>562985.36000000022</v>
      </c>
      <c r="L66" s="27"/>
      <c r="M66" s="95">
        <f t="shared" si="11"/>
        <v>0</v>
      </c>
    </row>
    <row r="67" spans="1:13" x14ac:dyDescent="0.2">
      <c r="A67" s="9" t="s">
        <v>18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70435.27</v>
      </c>
      <c r="H67" s="10">
        <v>27196.65</v>
      </c>
      <c r="I67" s="10">
        <v>1260055.98</v>
      </c>
      <c r="J67" s="10">
        <v>1216817.3599999999</v>
      </c>
      <c r="K67" s="10">
        <f t="shared" si="8"/>
        <v>70435.270000000019</v>
      </c>
      <c r="L67" s="15"/>
      <c r="M67" s="95">
        <f t="shared" si="11"/>
        <v>0</v>
      </c>
    </row>
    <row r="68" spans="1:13" x14ac:dyDescent="0.2">
      <c r="A68" s="9" t="s">
        <v>36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-10</v>
      </c>
      <c r="H68" s="10">
        <v>-10</v>
      </c>
      <c r="I68" s="10">
        <v>0</v>
      </c>
      <c r="J68" s="10">
        <v>0</v>
      </c>
      <c r="K68" s="10">
        <f t="shared" si="8"/>
        <v>-10</v>
      </c>
      <c r="L68" s="15"/>
      <c r="M68" s="95">
        <f t="shared" si="11"/>
        <v>0</v>
      </c>
    </row>
    <row r="69" spans="1:13" x14ac:dyDescent="0.2">
      <c r="A69" s="9" t="s">
        <v>20</v>
      </c>
      <c r="B69" s="10">
        <v>0</v>
      </c>
      <c r="C69" s="10">
        <v>0</v>
      </c>
      <c r="D69" s="10"/>
      <c r="E69" s="10">
        <v>0</v>
      </c>
      <c r="F69" s="12">
        <v>0</v>
      </c>
      <c r="G69" s="10">
        <v>10409.09</v>
      </c>
      <c r="H69" s="10">
        <v>8124.4500000000007</v>
      </c>
      <c r="I69" s="10">
        <v>1364164.99</v>
      </c>
      <c r="J69" s="10">
        <v>1361880.35</v>
      </c>
      <c r="K69" s="10">
        <f t="shared" si="8"/>
        <v>10409.089999999851</v>
      </c>
      <c r="L69" s="15"/>
      <c r="M69" s="95">
        <f t="shared" si="11"/>
        <v>-1.4915713109076023E-10</v>
      </c>
    </row>
    <row r="70" spans="1:13" x14ac:dyDescent="0.2">
      <c r="A70" s="9" t="s">
        <v>24</v>
      </c>
      <c r="B70" s="10">
        <v>0</v>
      </c>
      <c r="C70" s="10">
        <v>0</v>
      </c>
      <c r="D70" s="10"/>
      <c r="E70" s="10">
        <v>0</v>
      </c>
      <c r="F70" s="12">
        <v>0</v>
      </c>
      <c r="G70" s="10">
        <v>1150.8900000000001</v>
      </c>
      <c r="H70" s="10">
        <v>42631.81</v>
      </c>
      <c r="I70" s="10">
        <v>412765.08</v>
      </c>
      <c r="J70" s="10">
        <v>454246</v>
      </c>
      <c r="K70" s="10">
        <f t="shared" si="8"/>
        <v>1150.890000000014</v>
      </c>
      <c r="L70" s="15"/>
      <c r="M70" s="95">
        <f t="shared" si="11"/>
        <v>1.3869794202037156E-11</v>
      </c>
    </row>
    <row r="71" spans="1:13" x14ac:dyDescent="0.2">
      <c r="A71" s="9" t="s">
        <v>25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-1415.64</v>
      </c>
      <c r="H71" s="10">
        <v>719.87</v>
      </c>
      <c r="I71" s="10">
        <v>17662.490000000002</v>
      </c>
      <c r="J71" s="10">
        <v>19798</v>
      </c>
      <c r="K71" s="10">
        <f t="shared" si="8"/>
        <v>-1415.6399999999994</v>
      </c>
      <c r="L71" s="15"/>
      <c r="M71" s="95">
        <f t="shared" si="11"/>
        <v>0</v>
      </c>
    </row>
    <row r="72" spans="1:13" x14ac:dyDescent="0.2">
      <c r="A72" s="9" t="s">
        <v>27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267528.84000000003</v>
      </c>
      <c r="H72" s="10">
        <v>0</v>
      </c>
      <c r="I72" s="10">
        <v>267528.84000000003</v>
      </c>
      <c r="J72" s="10">
        <v>0</v>
      </c>
      <c r="K72" s="10">
        <f t="shared" si="8"/>
        <v>267528.84000000003</v>
      </c>
      <c r="L72" s="15"/>
      <c r="M72" s="95">
        <f t="shared" si="11"/>
        <v>0</v>
      </c>
    </row>
    <row r="73" spans="1:13" x14ac:dyDescent="0.2">
      <c r="A73" s="9" t="s">
        <v>29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238880.59</v>
      </c>
      <c r="H73" s="10">
        <v>286118.3</v>
      </c>
      <c r="I73" s="10">
        <v>98358.74</v>
      </c>
      <c r="J73" s="10">
        <v>145596.44999999998</v>
      </c>
      <c r="K73" s="10">
        <f t="shared" si="8"/>
        <v>238880.59</v>
      </c>
      <c r="L73" s="15"/>
      <c r="M73" s="95">
        <f t="shared" si="11"/>
        <v>0</v>
      </c>
    </row>
    <row r="74" spans="1:13" x14ac:dyDescent="0.2">
      <c r="A74" s="9" t="s">
        <v>30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8"/>
        <v>0</v>
      </c>
      <c r="L74" s="15"/>
      <c r="M74" s="95">
        <f t="shared" si="11"/>
        <v>0</v>
      </c>
    </row>
    <row r="75" spans="1:13" x14ac:dyDescent="0.2">
      <c r="A75" s="9"/>
      <c r="B75" s="10">
        <v>0</v>
      </c>
      <c r="C75" s="10">
        <v>0</v>
      </c>
      <c r="D75" s="10"/>
      <c r="E75" s="10">
        <v>0</v>
      </c>
      <c r="F75" s="12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8"/>
        <v>0</v>
      </c>
      <c r="L75" s="15"/>
      <c r="M75" s="95">
        <f t="shared" si="11"/>
        <v>0</v>
      </c>
    </row>
    <row r="76" spans="1:13" x14ac:dyDescent="0.2">
      <c r="A76" s="24" t="s">
        <v>39</v>
      </c>
      <c r="B76" s="25">
        <f>SUM(B67:B75)</f>
        <v>0</v>
      </c>
      <c r="C76" s="25">
        <f t="shared" ref="C76:K76" si="15">SUM(C67:C75)</f>
        <v>0</v>
      </c>
      <c r="D76" s="25">
        <f t="shared" si="15"/>
        <v>0</v>
      </c>
      <c r="E76" s="25">
        <f t="shared" si="15"/>
        <v>0</v>
      </c>
      <c r="F76" s="25">
        <f t="shared" si="15"/>
        <v>0</v>
      </c>
      <c r="G76" s="25">
        <f t="shared" si="15"/>
        <v>586979.04</v>
      </c>
      <c r="H76" s="25">
        <f t="shared" si="15"/>
        <v>364781.07999999996</v>
      </c>
      <c r="I76" s="25">
        <f t="shared" si="15"/>
        <v>3420536.12</v>
      </c>
      <c r="J76" s="25">
        <f t="shared" si="15"/>
        <v>3198338.16</v>
      </c>
      <c r="K76" s="25">
        <f t="shared" si="15"/>
        <v>586979.03999999992</v>
      </c>
      <c r="L76" s="27"/>
      <c r="M76" s="95">
        <f t="shared" si="11"/>
        <v>0</v>
      </c>
    </row>
    <row r="77" spans="1:13" x14ac:dyDescent="0.2">
      <c r="A77" s="9" t="s">
        <v>18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1852.17</v>
      </c>
      <c r="H77" s="10">
        <v>21852.97</v>
      </c>
      <c r="I77" s="10">
        <v>0</v>
      </c>
      <c r="J77" s="10">
        <v>20000.8</v>
      </c>
      <c r="K77" s="10">
        <f t="shared" si="8"/>
        <v>1852.1700000000019</v>
      </c>
      <c r="L77" s="15"/>
      <c r="M77" s="95">
        <f t="shared" si="11"/>
        <v>1.8189894035458565E-12</v>
      </c>
    </row>
    <row r="78" spans="1:13" x14ac:dyDescent="0.2">
      <c r="A78" s="9" t="s">
        <v>24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43212.38</v>
      </c>
      <c r="H78" s="10">
        <v>43212.38</v>
      </c>
      <c r="I78" s="10">
        <v>0</v>
      </c>
      <c r="J78" s="10">
        <v>0</v>
      </c>
      <c r="K78" s="10">
        <f t="shared" si="8"/>
        <v>43212.38</v>
      </c>
      <c r="L78" s="15"/>
      <c r="M78" s="95">
        <f t="shared" si="11"/>
        <v>0</v>
      </c>
    </row>
    <row r="79" spans="1:13" x14ac:dyDescent="0.2">
      <c r="A79" s="9" t="s">
        <v>25</v>
      </c>
      <c r="B79" s="10">
        <v>0</v>
      </c>
      <c r="C79" s="10">
        <v>0</v>
      </c>
      <c r="D79" s="10"/>
      <c r="E79" s="10">
        <v>0</v>
      </c>
      <c r="F79" s="12">
        <v>0</v>
      </c>
      <c r="G79" s="10">
        <v>1625.34</v>
      </c>
      <c r="H79" s="10">
        <v>8443.23</v>
      </c>
      <c r="I79" s="10">
        <v>10845.58</v>
      </c>
      <c r="J79" s="10">
        <v>17663.47</v>
      </c>
      <c r="K79" s="10">
        <f t="shared" si="8"/>
        <v>1625.3399999999965</v>
      </c>
      <c r="L79" s="15"/>
      <c r="M79" s="95">
        <f t="shared" si="11"/>
        <v>-3.4106051316484809E-12</v>
      </c>
    </row>
    <row r="80" spans="1:13" x14ac:dyDescent="0.2">
      <c r="A80" s="9" t="s">
        <v>26</v>
      </c>
      <c r="B80" s="10">
        <v>0</v>
      </c>
      <c r="C80" s="10">
        <v>0</v>
      </c>
      <c r="D80" s="10"/>
      <c r="E80" s="10">
        <v>0</v>
      </c>
      <c r="F80" s="12">
        <v>0</v>
      </c>
      <c r="G80" s="10">
        <v>20682.669999999998</v>
      </c>
      <c r="H80" s="10">
        <v>0</v>
      </c>
      <c r="I80" s="10">
        <v>20682.669999999998</v>
      </c>
      <c r="J80" s="10">
        <v>0</v>
      </c>
      <c r="K80" s="10">
        <f t="shared" si="8"/>
        <v>20682.669999999998</v>
      </c>
      <c r="L80" s="15"/>
      <c r="M80" s="95">
        <f t="shared" si="11"/>
        <v>0</v>
      </c>
    </row>
    <row r="81" spans="1:13" x14ac:dyDescent="0.2">
      <c r="A81" s="9" t="s">
        <v>29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74081.95</v>
      </c>
      <c r="H81" s="10">
        <v>79147.360000000001</v>
      </c>
      <c r="I81" s="10">
        <v>0</v>
      </c>
      <c r="J81" s="10">
        <v>5065.41</v>
      </c>
      <c r="K81" s="10">
        <f t="shared" si="8"/>
        <v>74081.95</v>
      </c>
      <c r="L81" s="15"/>
      <c r="M81" s="95">
        <f t="shared" si="11"/>
        <v>0</v>
      </c>
    </row>
    <row r="82" spans="1:13" x14ac:dyDescent="0.2">
      <c r="A82" s="9" t="s">
        <v>30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8"/>
        <v>0</v>
      </c>
      <c r="L82" s="15"/>
      <c r="M82" s="95">
        <f t="shared" si="11"/>
        <v>0</v>
      </c>
    </row>
    <row r="83" spans="1:13" x14ac:dyDescent="0.2">
      <c r="A83" s="9"/>
      <c r="B83" s="10">
        <v>0</v>
      </c>
      <c r="C83" s="10">
        <v>0</v>
      </c>
      <c r="D83" s="10"/>
      <c r="E83" s="10">
        <v>0</v>
      </c>
      <c r="F83" s="12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ref="K83:K91" si="16">H83+I83-J83</f>
        <v>0</v>
      </c>
      <c r="L83" s="15"/>
      <c r="M83" s="95">
        <f t="shared" si="11"/>
        <v>0</v>
      </c>
    </row>
    <row r="84" spans="1:13" x14ac:dyDescent="0.2">
      <c r="A84" s="24" t="s">
        <v>40</v>
      </c>
      <c r="B84" s="25">
        <f>SUM(B77:B83)</f>
        <v>0</v>
      </c>
      <c r="C84" s="25">
        <f t="shared" ref="C84:K84" si="17">SUM(C77:C83)</f>
        <v>0</v>
      </c>
      <c r="D84" s="25">
        <f t="shared" si="17"/>
        <v>0</v>
      </c>
      <c r="E84" s="25">
        <f t="shared" si="17"/>
        <v>0</v>
      </c>
      <c r="F84" s="25">
        <f t="shared" si="17"/>
        <v>0</v>
      </c>
      <c r="G84" s="25">
        <f t="shared" si="17"/>
        <v>141454.51</v>
      </c>
      <c r="H84" s="25">
        <f t="shared" si="17"/>
        <v>152655.94</v>
      </c>
      <c r="I84" s="25">
        <f t="shared" si="17"/>
        <v>31528.25</v>
      </c>
      <c r="J84" s="25">
        <f t="shared" si="17"/>
        <v>42729.680000000008</v>
      </c>
      <c r="K84" s="25">
        <f t="shared" si="17"/>
        <v>141454.51</v>
      </c>
      <c r="L84" s="27"/>
      <c r="M84" s="95">
        <f t="shared" si="11"/>
        <v>0</v>
      </c>
    </row>
    <row r="85" spans="1:13" x14ac:dyDescent="0.2">
      <c r="A85" s="9" t="s">
        <v>36</v>
      </c>
      <c r="B85" s="10">
        <v>0</v>
      </c>
      <c r="C85" s="10">
        <v>0</v>
      </c>
      <c r="D85" s="10"/>
      <c r="E85" s="10">
        <v>0</v>
      </c>
      <c r="F85" s="12">
        <v>0</v>
      </c>
      <c r="G85" s="10">
        <v>12193</v>
      </c>
      <c r="H85" s="10">
        <v>13553.029999999999</v>
      </c>
      <c r="I85" s="10">
        <v>0</v>
      </c>
      <c r="J85" s="10">
        <v>1360.03</v>
      </c>
      <c r="K85" s="10">
        <f t="shared" si="16"/>
        <v>12192.999999999998</v>
      </c>
      <c r="L85" s="15"/>
      <c r="M85" s="95">
        <f t="shared" si="11"/>
        <v>0</v>
      </c>
    </row>
    <row r="86" spans="1:13" x14ac:dyDescent="0.2">
      <c r="A86" s="9" t="s">
        <v>29</v>
      </c>
      <c r="B86" s="10">
        <v>0</v>
      </c>
      <c r="C86" s="10">
        <v>0</v>
      </c>
      <c r="D86" s="10"/>
      <c r="E86" s="10">
        <v>0</v>
      </c>
      <c r="F86" s="12">
        <v>0</v>
      </c>
      <c r="G86" s="10">
        <v>7163.64</v>
      </c>
      <c r="H86" s="10">
        <v>6216.71</v>
      </c>
      <c r="I86" s="10">
        <v>4500</v>
      </c>
      <c r="J86" s="10">
        <v>3553.0699999999997</v>
      </c>
      <c r="K86" s="10">
        <f t="shared" si="16"/>
        <v>7163.6399999999994</v>
      </c>
      <c r="L86" s="15"/>
      <c r="M86" s="95">
        <f t="shared" si="11"/>
        <v>0</v>
      </c>
    </row>
    <row r="87" spans="1:13" x14ac:dyDescent="0.2">
      <c r="A87" s="9"/>
      <c r="B87" s="10">
        <v>0</v>
      </c>
      <c r="C87" s="10">
        <v>0</v>
      </c>
      <c r="D87" s="10"/>
      <c r="E87" s="10">
        <v>0</v>
      </c>
      <c r="F87" s="12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16"/>
        <v>0</v>
      </c>
      <c r="L87" s="15"/>
      <c r="M87" s="95">
        <f t="shared" si="11"/>
        <v>0</v>
      </c>
    </row>
    <row r="88" spans="1:13" x14ac:dyDescent="0.2">
      <c r="A88" s="24" t="s">
        <v>41</v>
      </c>
      <c r="B88" s="25">
        <f>+B85+B86+B87</f>
        <v>0</v>
      </c>
      <c r="C88" s="25">
        <f t="shared" ref="C88:K88" si="18">+C85+C86+C87</f>
        <v>0</v>
      </c>
      <c r="D88" s="25">
        <f t="shared" si="18"/>
        <v>0</v>
      </c>
      <c r="E88" s="25">
        <f t="shared" si="18"/>
        <v>0</v>
      </c>
      <c r="F88" s="25">
        <f t="shared" si="18"/>
        <v>0</v>
      </c>
      <c r="G88" s="25">
        <f t="shared" si="18"/>
        <v>19356.64</v>
      </c>
      <c r="H88" s="25">
        <f t="shared" si="18"/>
        <v>19769.739999999998</v>
      </c>
      <c r="I88" s="25">
        <f t="shared" si="18"/>
        <v>4500</v>
      </c>
      <c r="J88" s="25">
        <f t="shared" si="18"/>
        <v>4913.0999999999995</v>
      </c>
      <c r="K88" s="25">
        <f t="shared" si="18"/>
        <v>19356.64</v>
      </c>
      <c r="L88" s="27"/>
      <c r="M88" s="95">
        <f t="shared" si="11"/>
        <v>0</v>
      </c>
    </row>
    <row r="89" spans="1:13" x14ac:dyDescent="0.2">
      <c r="A89" s="9" t="s">
        <v>36</v>
      </c>
      <c r="B89" s="10">
        <v>0</v>
      </c>
      <c r="C89" s="10">
        <v>0</v>
      </c>
      <c r="D89" s="10"/>
      <c r="E89" s="10">
        <v>0</v>
      </c>
      <c r="F89" s="12">
        <v>0</v>
      </c>
      <c r="G89" s="10">
        <v>4081.54</v>
      </c>
      <c r="H89" s="10">
        <v>4081.54</v>
      </c>
      <c r="I89" s="10">
        <v>0</v>
      </c>
      <c r="J89" s="10">
        <v>0</v>
      </c>
      <c r="K89" s="10">
        <f t="shared" si="16"/>
        <v>4081.54</v>
      </c>
      <c r="L89" s="15"/>
      <c r="M89" s="95">
        <f t="shared" si="11"/>
        <v>0</v>
      </c>
    </row>
    <row r="90" spans="1:13" x14ac:dyDescent="0.2">
      <c r="A90" s="9" t="s">
        <v>29</v>
      </c>
      <c r="B90" s="10">
        <v>0</v>
      </c>
      <c r="C90" s="10">
        <v>0</v>
      </c>
      <c r="D90" s="10"/>
      <c r="E90" s="10">
        <v>0</v>
      </c>
      <c r="F90" s="12">
        <v>0</v>
      </c>
      <c r="G90" s="10">
        <v>28063.68</v>
      </c>
      <c r="H90" s="10">
        <v>2763.68</v>
      </c>
      <c r="I90" s="10">
        <v>25300</v>
      </c>
      <c r="J90" s="10">
        <v>0</v>
      </c>
      <c r="K90" s="10">
        <f t="shared" si="16"/>
        <v>28063.68</v>
      </c>
      <c r="L90" s="15"/>
      <c r="M90" s="95">
        <f t="shared" si="11"/>
        <v>0</v>
      </c>
    </row>
    <row r="91" spans="1:13" x14ac:dyDescent="0.2">
      <c r="A91" s="9"/>
      <c r="B91" s="10">
        <v>0</v>
      </c>
      <c r="C91" s="10">
        <v>0</v>
      </c>
      <c r="D91" s="10"/>
      <c r="E91" s="10">
        <v>0</v>
      </c>
      <c r="F91" s="12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6"/>
        <v>0</v>
      </c>
      <c r="L91" s="15"/>
      <c r="M91" s="95">
        <f t="shared" si="11"/>
        <v>0</v>
      </c>
    </row>
    <row r="92" spans="1:13" x14ac:dyDescent="0.2">
      <c r="A92" s="24" t="s">
        <v>42</v>
      </c>
      <c r="B92" s="25">
        <f>+B89+B90+B91</f>
        <v>0</v>
      </c>
      <c r="C92" s="25">
        <f t="shared" ref="C92:K92" si="19">+C89+C90+C91</f>
        <v>0</v>
      </c>
      <c r="D92" s="25">
        <f t="shared" si="19"/>
        <v>0</v>
      </c>
      <c r="E92" s="25">
        <f t="shared" si="19"/>
        <v>0</v>
      </c>
      <c r="F92" s="25">
        <f t="shared" si="19"/>
        <v>0</v>
      </c>
      <c r="G92" s="25">
        <f t="shared" si="19"/>
        <v>32145.22</v>
      </c>
      <c r="H92" s="25">
        <f t="shared" si="19"/>
        <v>6845.2199999999993</v>
      </c>
      <c r="I92" s="25">
        <f t="shared" si="19"/>
        <v>25300</v>
      </c>
      <c r="J92" s="25">
        <f t="shared" si="19"/>
        <v>0</v>
      </c>
      <c r="K92" s="25">
        <f t="shared" si="19"/>
        <v>32145.22</v>
      </c>
      <c r="L92" s="27"/>
      <c r="M92" s="95">
        <f t="shared" si="11"/>
        <v>0</v>
      </c>
    </row>
    <row r="93" spans="1:13" x14ac:dyDescent="0.2">
      <c r="A93" s="9"/>
      <c r="B93" s="10">
        <v>0</v>
      </c>
      <c r="C93" s="10">
        <v>0</v>
      </c>
      <c r="D93" s="10"/>
      <c r="E93" s="10">
        <v>0</v>
      </c>
      <c r="F93" s="12">
        <v>0</v>
      </c>
      <c r="G93" s="10">
        <v>0</v>
      </c>
      <c r="H93" s="10">
        <v>0</v>
      </c>
      <c r="I93" s="10">
        <v>0</v>
      </c>
      <c r="J93" s="10">
        <v>0</v>
      </c>
      <c r="K93" s="10">
        <f>H93+I93-J93</f>
        <v>0</v>
      </c>
      <c r="L93" s="15"/>
      <c r="M93" s="95">
        <f t="shared" si="11"/>
        <v>0</v>
      </c>
    </row>
    <row r="94" spans="1:13" ht="27" x14ac:dyDescent="0.2">
      <c r="A94" s="24" t="s">
        <v>43</v>
      </c>
      <c r="B94" s="25">
        <f t="shared" ref="B94:K94" si="20">+B92+B88+B84+B76+B66+B56+B43+B35</f>
        <v>68666749.510000005</v>
      </c>
      <c r="C94" s="25">
        <f t="shared" si="20"/>
        <v>10440352.039999999</v>
      </c>
      <c r="D94" s="25">
        <f t="shared" si="20"/>
        <v>2568.64</v>
      </c>
      <c r="E94" s="25">
        <f t="shared" si="20"/>
        <v>5235640.5999999996</v>
      </c>
      <c r="F94" s="25">
        <f t="shared" si="20"/>
        <v>0.50984660415481187</v>
      </c>
      <c r="G94" s="25">
        <f t="shared" si="20"/>
        <v>9769844.8999999985</v>
      </c>
      <c r="H94" s="25">
        <f t="shared" si="20"/>
        <v>10605765.949999999</v>
      </c>
      <c r="I94" s="25">
        <f t="shared" si="20"/>
        <v>6893832.0600000005</v>
      </c>
      <c r="J94" s="25">
        <f t="shared" si="20"/>
        <v>7730416.129999999</v>
      </c>
      <c r="K94" s="25">
        <f t="shared" si="20"/>
        <v>9769181.8800000008</v>
      </c>
      <c r="L94" s="27"/>
      <c r="M94" s="95">
        <f t="shared" si="11"/>
        <v>-663.01999999769032</v>
      </c>
    </row>
    <row r="95" spans="1:13" x14ac:dyDescent="0.2">
      <c r="A95" s="9"/>
      <c r="B95" s="10">
        <v>0</v>
      </c>
      <c r="C95" s="10">
        <v>0</v>
      </c>
      <c r="D95" s="10"/>
      <c r="E95" s="10">
        <v>0</v>
      </c>
      <c r="F95" s="12">
        <v>0</v>
      </c>
      <c r="G95" s="10">
        <v>0</v>
      </c>
      <c r="H95" s="10">
        <v>0</v>
      </c>
      <c r="I95" s="10">
        <v>0</v>
      </c>
      <c r="J95" s="10">
        <v>0</v>
      </c>
      <c r="K95" s="10">
        <f>H95+I95-J95</f>
        <v>0</v>
      </c>
      <c r="L95" s="15"/>
      <c r="M95" s="95">
        <f>+K95-G95</f>
        <v>0</v>
      </c>
    </row>
    <row r="96" spans="1:13" x14ac:dyDescent="0.25">
      <c r="A96" s="24" t="s">
        <v>44</v>
      </c>
      <c r="B96" s="25">
        <f t="shared" ref="B96:K96" si="21">+B94+B21</f>
        <v>136405315.59</v>
      </c>
      <c r="C96" s="25">
        <f t="shared" si="21"/>
        <v>70462581.609999999</v>
      </c>
      <c r="D96" s="25">
        <f t="shared" si="21"/>
        <v>2568.64</v>
      </c>
      <c r="E96" s="25">
        <f t="shared" si="21"/>
        <v>42510559.509999998</v>
      </c>
      <c r="F96" s="25">
        <f t="shared" si="21"/>
        <v>4.2756405054549109</v>
      </c>
      <c r="G96" s="25">
        <f t="shared" si="21"/>
        <v>32517155.559999999</v>
      </c>
      <c r="H96" s="25">
        <f t="shared" si="21"/>
        <v>33810344.269999996</v>
      </c>
      <c r="I96" s="25">
        <f t="shared" si="21"/>
        <v>9185414.9299999997</v>
      </c>
      <c r="J96" s="25">
        <f t="shared" si="21"/>
        <v>10381040.439999998</v>
      </c>
      <c r="K96" s="25">
        <f t="shared" si="21"/>
        <v>32614718.759999998</v>
      </c>
      <c r="L96" s="27"/>
    </row>
    <row r="97" spans="1:12" x14ac:dyDescent="0.25">
      <c r="A97" s="28"/>
      <c r="B97" s="29"/>
      <c r="C97" s="29"/>
      <c r="D97" s="29"/>
      <c r="E97" s="28"/>
      <c r="F97" s="28"/>
      <c r="G97" s="28"/>
      <c r="H97" s="28"/>
      <c r="I97" s="28"/>
      <c r="J97" s="28"/>
      <c r="K97" s="28"/>
      <c r="L97" s="30"/>
    </row>
    <row r="98" spans="1:12" x14ac:dyDescent="0.25">
      <c r="A98" s="19"/>
      <c r="B98" s="19"/>
      <c r="C98" s="333" t="s">
        <v>45</v>
      </c>
      <c r="D98" s="333"/>
      <c r="E98" s="333"/>
      <c r="F98" s="333"/>
      <c r="G98" s="333"/>
      <c r="H98" s="333"/>
      <c r="I98" s="333"/>
      <c r="J98" s="19"/>
      <c r="K98" s="19"/>
      <c r="L98" s="19"/>
    </row>
    <row r="99" spans="1:12" x14ac:dyDescent="0.25">
      <c r="A99" s="19"/>
      <c r="B99" s="19"/>
      <c r="C99" s="90"/>
      <c r="D99" s="90"/>
      <c r="E99" s="90"/>
      <c r="F99" s="90"/>
      <c r="G99" s="90"/>
      <c r="H99" s="90"/>
      <c r="I99" s="90"/>
      <c r="J99" s="19"/>
      <c r="K99" s="19"/>
      <c r="L99" s="19"/>
    </row>
    <row r="100" spans="1:12" x14ac:dyDescent="0.25">
      <c r="A100" s="19"/>
      <c r="B100" s="325" t="s">
        <v>46</v>
      </c>
      <c r="C100" s="325"/>
      <c r="D100" s="326" t="s">
        <v>47</v>
      </c>
      <c r="E100" s="327"/>
      <c r="F100" s="328"/>
      <c r="G100" s="320" t="s">
        <v>48</v>
      </c>
      <c r="H100" s="320"/>
      <c r="I100" s="88" t="s">
        <v>10</v>
      </c>
      <c r="J100" s="19"/>
      <c r="K100" s="19"/>
      <c r="L100" s="19"/>
    </row>
    <row r="101" spans="1:12" x14ac:dyDescent="0.25">
      <c r="A101" s="19"/>
      <c r="B101" s="329" t="s">
        <v>49</v>
      </c>
      <c r="C101" s="329"/>
      <c r="D101" s="330">
        <v>8135543</v>
      </c>
      <c r="E101" s="331"/>
      <c r="F101" s="332">
        <v>0</v>
      </c>
      <c r="G101" s="330">
        <v>2004169</v>
      </c>
      <c r="H101" s="332"/>
      <c r="I101" s="33">
        <f>G101/D101</f>
        <v>0.2463472935979811</v>
      </c>
      <c r="J101" s="19"/>
      <c r="K101" s="19"/>
      <c r="L101" s="19"/>
    </row>
    <row r="102" spans="1:12" x14ac:dyDescent="0.25">
      <c r="A102" s="19"/>
      <c r="B102" s="320"/>
      <c r="C102" s="320"/>
      <c r="D102" s="321"/>
      <c r="E102" s="322"/>
      <c r="F102" s="323"/>
      <c r="G102" s="324"/>
      <c r="H102" s="324"/>
      <c r="I102" s="89"/>
      <c r="J102" s="19"/>
      <c r="K102" s="19"/>
      <c r="L102" s="19"/>
    </row>
    <row r="103" spans="1:12" x14ac:dyDescent="0.25">
      <c r="A103" s="19"/>
      <c r="B103" s="320"/>
      <c r="C103" s="320"/>
      <c r="D103" s="321"/>
      <c r="E103" s="322"/>
      <c r="F103" s="323"/>
      <c r="G103" s="324"/>
      <c r="H103" s="324"/>
      <c r="I103" s="89"/>
      <c r="J103" s="19"/>
      <c r="K103" s="19"/>
      <c r="L103" s="19"/>
    </row>
    <row r="104" spans="1:12" x14ac:dyDescent="0.25">
      <c r="A104" s="19"/>
      <c r="B104" s="320"/>
      <c r="C104" s="320"/>
      <c r="D104" s="321"/>
      <c r="E104" s="322"/>
      <c r="F104" s="323"/>
      <c r="G104" s="324"/>
      <c r="H104" s="324"/>
      <c r="I104" s="89"/>
      <c r="J104" s="19"/>
      <c r="K104" s="19"/>
      <c r="L104" s="19"/>
    </row>
    <row r="105" spans="1:12" x14ac:dyDescent="0.25">
      <c r="A105" s="35" t="s">
        <v>50</v>
      </c>
      <c r="B105" s="36"/>
      <c r="C105" s="36"/>
      <c r="D105" s="36"/>
      <c r="E105" s="36"/>
      <c r="F105" s="36"/>
      <c r="G105" s="37"/>
      <c r="H105" s="37"/>
      <c r="I105" s="38"/>
      <c r="J105" s="19"/>
      <c r="K105" s="19"/>
      <c r="L105" s="19"/>
    </row>
  </sheetData>
  <mergeCells count="31">
    <mergeCell ref="C98:I98"/>
    <mergeCell ref="A1:L1"/>
    <mergeCell ref="A3:L3"/>
    <mergeCell ref="C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100:C100"/>
    <mergeCell ref="D100:F100"/>
    <mergeCell ref="G100:H100"/>
    <mergeCell ref="B101:C101"/>
    <mergeCell ref="D101:F101"/>
    <mergeCell ref="G101:H101"/>
    <mergeCell ref="B104:C104"/>
    <mergeCell ref="D104:F104"/>
    <mergeCell ref="G104:H104"/>
    <mergeCell ref="B102:C102"/>
    <mergeCell ref="D102:F102"/>
    <mergeCell ref="G102:H102"/>
    <mergeCell ref="B103:C103"/>
    <mergeCell ref="D103:F103"/>
    <mergeCell ref="G103:H10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O105"/>
  <sheetViews>
    <sheetView zoomScale="120" zoomScaleNormal="120" workbookViewId="0">
      <selection activeCell="I20" sqref="I20"/>
    </sheetView>
  </sheetViews>
  <sheetFormatPr baseColWidth="10" defaultColWidth="16.5703125" defaultRowHeight="18" x14ac:dyDescent="0.25"/>
  <cols>
    <col min="1" max="1" width="16.5703125" style="1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16.5703125" style="94"/>
    <col min="14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4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x14ac:dyDescent="0.25">
      <c r="A4" s="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4" x14ac:dyDescent="0.25">
      <c r="A5" s="3" t="s">
        <v>2</v>
      </c>
      <c r="B5" s="5"/>
      <c r="C5" s="5"/>
      <c r="D5" s="5"/>
      <c r="E5" s="6"/>
      <c r="F5" s="6"/>
      <c r="G5" s="6"/>
    </row>
    <row r="6" spans="1:14" x14ac:dyDescent="0.25">
      <c r="C6" s="335" t="s">
        <v>3</v>
      </c>
      <c r="D6" s="335"/>
      <c r="E6" s="336"/>
      <c r="F6" s="336"/>
      <c r="G6" s="336"/>
      <c r="H6" s="335" t="s">
        <v>4</v>
      </c>
      <c r="I6" s="335"/>
      <c r="J6" s="335"/>
      <c r="K6" s="335"/>
    </row>
    <row r="7" spans="1:14" s="17" customFormat="1" x14ac:dyDescent="0.25">
      <c r="A7" s="337" t="s">
        <v>5</v>
      </c>
      <c r="B7" s="340" t="s">
        <v>6</v>
      </c>
      <c r="C7" s="340" t="s">
        <v>7</v>
      </c>
      <c r="D7" s="340" t="s">
        <v>8</v>
      </c>
      <c r="E7" s="340" t="s">
        <v>9</v>
      </c>
      <c r="F7" s="340" t="s">
        <v>10</v>
      </c>
      <c r="G7" s="337" t="s">
        <v>11</v>
      </c>
      <c r="H7" s="340" t="s">
        <v>12</v>
      </c>
      <c r="I7" s="340" t="s">
        <v>13</v>
      </c>
      <c r="J7" s="340" t="s">
        <v>14</v>
      </c>
      <c r="K7" s="340" t="s">
        <v>15</v>
      </c>
      <c r="L7" s="8" t="s">
        <v>16</v>
      </c>
      <c r="M7" s="106"/>
    </row>
    <row r="8" spans="1:14" x14ac:dyDescent="0.25">
      <c r="A8" s="338"/>
      <c r="B8" s="340"/>
      <c r="C8" s="340"/>
      <c r="D8" s="340"/>
      <c r="E8" s="340"/>
      <c r="F8" s="340"/>
      <c r="G8" s="338"/>
      <c r="H8" s="340"/>
      <c r="I8" s="340"/>
      <c r="J8" s="340"/>
      <c r="K8" s="340"/>
      <c r="L8" s="8" t="s">
        <v>17</v>
      </c>
    </row>
    <row r="9" spans="1:14" s="17" customFormat="1" x14ac:dyDescent="0.25">
      <c r="A9" s="9" t="s">
        <v>18</v>
      </c>
      <c r="B9" s="10">
        <v>10284399.08</v>
      </c>
      <c r="C9" s="10">
        <v>7636066.5099999998</v>
      </c>
      <c r="D9" s="11">
        <v>0</v>
      </c>
      <c r="E9" s="108">
        <v>5611243.54</v>
      </c>
      <c r="F9" s="12">
        <f>+E9/C9</f>
        <v>0.73483429363163055</v>
      </c>
      <c r="G9" s="10">
        <f t="shared" ref="G9:G20" si="0">+C9+D9-E9</f>
        <v>2024822.9699999997</v>
      </c>
      <c r="H9" s="13">
        <f>210274.15+1577519.48</f>
        <v>1787793.63</v>
      </c>
      <c r="I9" s="14">
        <f>211629.3+60054.32+10000+17400</f>
        <v>299083.62</v>
      </c>
      <c r="J9" s="14">
        <f>15483+2773.46+2741.58+41056.24</f>
        <v>62054.28</v>
      </c>
      <c r="K9" s="14">
        <f>H9+I9-J9</f>
        <v>2024822.97</v>
      </c>
      <c r="L9" s="15">
        <f>+F9</f>
        <v>0.73483429363163055</v>
      </c>
      <c r="M9" s="63">
        <f>+K9-G9</f>
        <v>0</v>
      </c>
      <c r="N9" s="122"/>
    </row>
    <row r="10" spans="1:14" x14ac:dyDescent="0.2">
      <c r="A10" s="9" t="s">
        <v>20</v>
      </c>
      <c r="B10" s="10">
        <v>25204741</v>
      </c>
      <c r="C10" s="10">
        <v>13488795</v>
      </c>
      <c r="D10" s="11">
        <v>0</v>
      </c>
      <c r="E10" s="108">
        <v>16186713.07</v>
      </c>
      <c r="F10" s="12">
        <f t="shared" ref="F10:F15" si="1">+E10/C10</f>
        <v>1.2000117927509462</v>
      </c>
      <c r="G10" s="10">
        <f t="shared" si="0"/>
        <v>-2697918.0700000003</v>
      </c>
      <c r="H10" s="13">
        <f>70563.59-780858.68</f>
        <v>-710295.09000000008</v>
      </c>
      <c r="I10" s="14">
        <f>203721.37+0</f>
        <v>203721.37</v>
      </c>
      <c r="J10" s="14">
        <f>489839+9041.8+13371.84+1679091.71</f>
        <v>2191344.35</v>
      </c>
      <c r="K10" s="14">
        <f t="shared" ref="K10:K18" si="2">H10+I10-J10</f>
        <v>-2697918.0700000003</v>
      </c>
      <c r="L10" s="15">
        <f t="shared" ref="L10:L20" si="3">+F10</f>
        <v>1.2000117927509462</v>
      </c>
      <c r="M10" s="61">
        <f>+K10-G10</f>
        <v>0</v>
      </c>
      <c r="N10" s="127"/>
    </row>
    <row r="11" spans="1:14" x14ac:dyDescent="0.2">
      <c r="A11" s="9" t="s">
        <v>21</v>
      </c>
      <c r="B11" s="10"/>
      <c r="C11" s="10">
        <v>92886</v>
      </c>
      <c r="D11" s="11">
        <v>0</v>
      </c>
      <c r="E11" s="80">
        <v>0</v>
      </c>
      <c r="F11" s="12">
        <f t="shared" si="1"/>
        <v>0</v>
      </c>
      <c r="G11" s="10">
        <f t="shared" si="0"/>
        <v>92886</v>
      </c>
      <c r="H11" s="13">
        <v>93886</v>
      </c>
      <c r="I11" s="14">
        <v>0</v>
      </c>
      <c r="J11" s="14">
        <v>1000</v>
      </c>
      <c r="K11" s="14">
        <f t="shared" si="2"/>
        <v>92886</v>
      </c>
      <c r="L11" s="15">
        <f t="shared" si="3"/>
        <v>0</v>
      </c>
      <c r="M11" s="62">
        <f>+K11-G11</f>
        <v>0</v>
      </c>
      <c r="N11" s="119"/>
    </row>
    <row r="12" spans="1:14" x14ac:dyDescent="0.2">
      <c r="A12" s="9" t="s">
        <v>22</v>
      </c>
      <c r="B12" s="10"/>
      <c r="C12" s="10">
        <v>194334</v>
      </c>
      <c r="D12" s="11">
        <v>0</v>
      </c>
      <c r="E12" s="79">
        <v>0</v>
      </c>
      <c r="F12" s="12">
        <f t="shared" si="1"/>
        <v>0</v>
      </c>
      <c r="G12" s="10">
        <f t="shared" si="0"/>
        <v>194334</v>
      </c>
      <c r="H12" s="13">
        <v>195334</v>
      </c>
      <c r="I12" s="14">
        <v>0</v>
      </c>
      <c r="J12" s="14">
        <v>1000</v>
      </c>
      <c r="K12" s="14">
        <f t="shared" si="2"/>
        <v>194334</v>
      </c>
      <c r="L12" s="15">
        <f t="shared" si="3"/>
        <v>0</v>
      </c>
      <c r="M12" s="62">
        <f>+K12-G12</f>
        <v>0</v>
      </c>
      <c r="N12" s="119"/>
    </row>
    <row r="13" spans="1:14" x14ac:dyDescent="0.2">
      <c r="A13" s="9" t="s">
        <v>23</v>
      </c>
      <c r="B13" s="10"/>
      <c r="C13" s="10">
        <v>641691.98</v>
      </c>
      <c r="D13" s="11">
        <v>0</v>
      </c>
      <c r="E13" s="79">
        <v>0</v>
      </c>
      <c r="F13" s="12">
        <f t="shared" si="1"/>
        <v>0</v>
      </c>
      <c r="G13" s="10">
        <f t="shared" si="0"/>
        <v>641691.98</v>
      </c>
      <c r="H13" s="13">
        <v>642691.98</v>
      </c>
      <c r="I13" s="14">
        <v>0</v>
      </c>
      <c r="J13" s="14">
        <v>1000</v>
      </c>
      <c r="K13" s="14">
        <f t="shared" si="2"/>
        <v>641691.98</v>
      </c>
      <c r="L13" s="15">
        <f t="shared" si="3"/>
        <v>0</v>
      </c>
      <c r="M13" s="62">
        <f t="shared" ref="M13:M19" si="4">+K13-G13</f>
        <v>0</v>
      </c>
      <c r="N13" s="119"/>
    </row>
    <row r="14" spans="1:14" x14ac:dyDescent="0.2">
      <c r="A14" s="9" t="s">
        <v>24</v>
      </c>
      <c r="B14" s="10">
        <v>12977087</v>
      </c>
      <c r="C14" s="10">
        <v>9335208</v>
      </c>
      <c r="D14" s="11">
        <v>0</v>
      </c>
      <c r="E14" s="108">
        <v>9575419.9900000002</v>
      </c>
      <c r="F14" s="12">
        <f t="shared" si="1"/>
        <v>1.0257318305066154</v>
      </c>
      <c r="G14" s="10">
        <f t="shared" si="0"/>
        <v>-240211.99000000022</v>
      </c>
      <c r="H14" s="13">
        <v>225877.01</v>
      </c>
      <c r="I14" s="14">
        <v>10553</v>
      </c>
      <c r="J14" s="14">
        <f>317898+158744</f>
        <v>476642</v>
      </c>
      <c r="K14" s="14">
        <f t="shared" si="2"/>
        <v>-240211.99</v>
      </c>
      <c r="L14" s="15">
        <f t="shared" si="3"/>
        <v>1.0257318305066154</v>
      </c>
      <c r="M14" s="61">
        <f t="shared" si="4"/>
        <v>2.3283064365386963E-10</v>
      </c>
      <c r="N14" s="128"/>
    </row>
    <row r="15" spans="1:14" x14ac:dyDescent="0.2">
      <c r="A15" s="9" t="s">
        <v>25</v>
      </c>
      <c r="B15" s="10"/>
      <c r="C15" s="10">
        <v>255735</v>
      </c>
      <c r="D15" s="11">
        <v>0</v>
      </c>
      <c r="E15" s="78">
        <v>9717.48</v>
      </c>
      <c r="F15" s="12">
        <f t="shared" si="1"/>
        <v>3.7998240366003869E-2</v>
      </c>
      <c r="G15" s="10">
        <f t="shared" si="0"/>
        <v>246017.52</v>
      </c>
      <c r="H15" s="13">
        <v>247017.52</v>
      </c>
      <c r="I15" s="14">
        <v>0</v>
      </c>
      <c r="J15" s="14">
        <v>1000</v>
      </c>
      <c r="K15" s="14">
        <f t="shared" si="2"/>
        <v>246017.52</v>
      </c>
      <c r="L15" s="15">
        <f t="shared" si="3"/>
        <v>3.7998240366003869E-2</v>
      </c>
      <c r="M15" s="62">
        <f t="shared" si="4"/>
        <v>0</v>
      </c>
      <c r="N15" s="119"/>
    </row>
    <row r="16" spans="1:14" x14ac:dyDescent="0.2">
      <c r="A16" s="9" t="s">
        <v>53</v>
      </c>
      <c r="B16" s="10"/>
      <c r="C16" s="11">
        <v>0</v>
      </c>
      <c r="D16" s="11">
        <v>0</v>
      </c>
      <c r="E16" s="79">
        <v>0</v>
      </c>
      <c r="F16" s="12">
        <v>0</v>
      </c>
      <c r="G16" s="14">
        <f t="shared" si="0"/>
        <v>0</v>
      </c>
      <c r="H16" s="11">
        <v>0</v>
      </c>
      <c r="I16" s="14">
        <v>0</v>
      </c>
      <c r="J16" s="14">
        <v>0</v>
      </c>
      <c r="K16" s="14">
        <f t="shared" si="2"/>
        <v>0</v>
      </c>
      <c r="L16" s="15">
        <f t="shared" si="3"/>
        <v>0</v>
      </c>
      <c r="M16" s="62">
        <f t="shared" si="4"/>
        <v>0</v>
      </c>
      <c r="N16" s="119"/>
    </row>
    <row r="17" spans="1:15" x14ac:dyDescent="0.2">
      <c r="A17" s="9" t="s">
        <v>27</v>
      </c>
      <c r="B17" s="10"/>
      <c r="C17" s="11">
        <v>0</v>
      </c>
      <c r="D17" s="11">
        <v>0</v>
      </c>
      <c r="E17" s="80">
        <v>0</v>
      </c>
      <c r="F17" s="12">
        <v>0</v>
      </c>
      <c r="G17" s="14">
        <f t="shared" si="0"/>
        <v>0</v>
      </c>
      <c r="H17" s="11">
        <v>0</v>
      </c>
      <c r="I17" s="14">
        <v>0</v>
      </c>
      <c r="J17" s="14">
        <v>0</v>
      </c>
      <c r="K17" s="14">
        <f t="shared" si="2"/>
        <v>0</v>
      </c>
      <c r="L17" s="15">
        <f t="shared" si="3"/>
        <v>0</v>
      </c>
      <c r="M17" s="62">
        <f t="shared" si="4"/>
        <v>0</v>
      </c>
      <c r="N17" s="120"/>
    </row>
    <row r="18" spans="1:15" x14ac:dyDescent="0.2">
      <c r="A18" s="9" t="s">
        <v>28</v>
      </c>
      <c r="B18" s="10"/>
      <c r="C18" s="11">
        <v>23886.12</v>
      </c>
      <c r="D18" s="11">
        <v>0</v>
      </c>
      <c r="E18" s="79">
        <v>0</v>
      </c>
      <c r="F18" s="12">
        <v>0</v>
      </c>
      <c r="G18" s="14">
        <f t="shared" si="0"/>
        <v>23886.12</v>
      </c>
      <c r="H18" s="11">
        <v>24886.12</v>
      </c>
      <c r="I18" s="14">
        <v>0</v>
      </c>
      <c r="J18" s="14">
        <v>1000</v>
      </c>
      <c r="K18" s="14">
        <f t="shared" si="2"/>
        <v>23886.12</v>
      </c>
      <c r="L18" s="15">
        <f t="shared" si="3"/>
        <v>0</v>
      </c>
      <c r="M18" s="62">
        <f t="shared" si="4"/>
        <v>0</v>
      </c>
      <c r="N18" s="115"/>
    </row>
    <row r="19" spans="1:15" x14ac:dyDescent="0.2">
      <c r="A19" s="9" t="s">
        <v>29</v>
      </c>
      <c r="B19" s="10"/>
      <c r="C19" s="10">
        <v>19581911</v>
      </c>
      <c r="D19" s="11">
        <v>0</v>
      </c>
      <c r="E19" s="80">
        <v>0</v>
      </c>
      <c r="F19" s="12">
        <f>+E19/C19</f>
        <v>0</v>
      </c>
      <c r="G19" s="10">
        <f t="shared" si="0"/>
        <v>19581911</v>
      </c>
      <c r="H19" s="13">
        <f>11195092+8392819</f>
        <v>19587911</v>
      </c>
      <c r="I19" s="14">
        <v>0</v>
      </c>
      <c r="J19" s="14">
        <v>6000</v>
      </c>
      <c r="K19" s="14">
        <f>H19+I19-J19</f>
        <v>19581911</v>
      </c>
      <c r="L19" s="15">
        <f t="shared" si="3"/>
        <v>0</v>
      </c>
      <c r="M19" s="62">
        <f t="shared" si="4"/>
        <v>0</v>
      </c>
      <c r="N19" s="115"/>
      <c r="O19" s="18"/>
    </row>
    <row r="20" spans="1:15" x14ac:dyDescent="0.2">
      <c r="A20" s="9" t="s">
        <v>30</v>
      </c>
      <c r="B20" s="10">
        <v>19272339</v>
      </c>
      <c r="C20" s="10">
        <v>14113984</v>
      </c>
      <c r="D20" s="11">
        <v>0</v>
      </c>
      <c r="E20" s="108">
        <v>11561711.800000001</v>
      </c>
      <c r="F20" s="12">
        <f>+E20/C20</f>
        <v>0.81916713239861971</v>
      </c>
      <c r="G20" s="10">
        <f t="shared" si="0"/>
        <v>2552272.1999999993</v>
      </c>
      <c r="H20" s="13">
        <v>932244.32</v>
      </c>
      <c r="I20" s="14">
        <f>1676260.88+23200</f>
        <v>1699460.88</v>
      </c>
      <c r="J20" s="14">
        <f>51324+28109</f>
        <v>79433</v>
      </c>
      <c r="K20" s="14">
        <f>H20+I20-J20</f>
        <v>2552272.1999999997</v>
      </c>
      <c r="L20" s="15">
        <f t="shared" si="3"/>
        <v>0.81916713239861971</v>
      </c>
      <c r="M20" s="118">
        <f>+K20-G20</f>
        <v>0</v>
      </c>
      <c r="N20" s="121"/>
      <c r="O20" s="18"/>
    </row>
    <row r="21" spans="1:15" s="5" customFormat="1" x14ac:dyDescent="0.2">
      <c r="A21" s="20" t="s">
        <v>51</v>
      </c>
      <c r="B21" s="21">
        <f>SUM(B9:B20)</f>
        <v>67738566.079999998</v>
      </c>
      <c r="C21" s="21">
        <f>SUM(C9:C20)</f>
        <v>65364497.609999999</v>
      </c>
      <c r="D21" s="21">
        <f>SUM(D9:D20)</f>
        <v>0</v>
      </c>
      <c r="E21" s="21">
        <f>SUM(E9:E20)</f>
        <v>42944805.880000003</v>
      </c>
      <c r="F21" s="21">
        <f t="shared" ref="F21:K21" si="5">SUM(F9:F20)</f>
        <v>3.8177432896538157</v>
      </c>
      <c r="G21" s="21">
        <f t="shared" si="5"/>
        <v>22419691.729999997</v>
      </c>
      <c r="H21" s="21">
        <f t="shared" si="5"/>
        <v>23027346.490000002</v>
      </c>
      <c r="I21" s="21">
        <f t="shared" si="5"/>
        <v>2212818.87</v>
      </c>
      <c r="J21" s="21">
        <f t="shared" si="5"/>
        <v>2820473.63</v>
      </c>
      <c r="K21" s="21">
        <f t="shared" si="5"/>
        <v>22419691.73</v>
      </c>
      <c r="L21" s="23"/>
      <c r="M21" s="62">
        <f>+K21-G21</f>
        <v>0</v>
      </c>
    </row>
    <row r="22" spans="1:15" s="17" customFormat="1" x14ac:dyDescent="0.25">
      <c r="A22" s="96" t="s">
        <v>18</v>
      </c>
      <c r="B22" s="97">
        <v>9497181.3399999999</v>
      </c>
      <c r="C22" s="97">
        <f>9497181.34-8522902.7</f>
        <v>974278.6400000006</v>
      </c>
      <c r="D22" s="104">
        <v>0</v>
      </c>
      <c r="E22" s="97">
        <v>0</v>
      </c>
      <c r="F22" s="98">
        <f>+E22/C22</f>
        <v>0</v>
      </c>
      <c r="G22" s="97">
        <f>+C22+D22-E22</f>
        <v>974278.6400000006</v>
      </c>
      <c r="H22" s="99">
        <f>781984.35-0.47</f>
        <v>781983.88</v>
      </c>
      <c r="I22" s="100">
        <f>22013.2+172259.48</f>
        <v>194272.68000000002</v>
      </c>
      <c r="J22" s="100">
        <f>-4302.52+6280.44</f>
        <v>1977.9199999999992</v>
      </c>
      <c r="K22" s="100">
        <f>H22+I22-J22</f>
        <v>974278.64</v>
      </c>
      <c r="L22" s="101">
        <f>+F22</f>
        <v>0</v>
      </c>
      <c r="M22" s="103">
        <f t="shared" ref="M22:M31" si="6">+K22-G22</f>
        <v>0</v>
      </c>
      <c r="N22" s="105"/>
    </row>
    <row r="23" spans="1:15" x14ac:dyDescent="0.2">
      <c r="A23" s="9" t="s">
        <v>20</v>
      </c>
      <c r="B23" s="10">
        <v>28461059.77</v>
      </c>
      <c r="C23" s="10">
        <f>+B23-27479996.23</f>
        <v>981063.53999999911</v>
      </c>
      <c r="D23" s="11">
        <v>0</v>
      </c>
      <c r="E23" s="10">
        <v>4102.54</v>
      </c>
      <c r="F23" s="12">
        <f t="shared" ref="F23:F33" si="7">+E23/C23</f>
        <v>4.1817271081137147E-3</v>
      </c>
      <c r="G23" s="10">
        <f>+C23+D23-E23</f>
        <v>976960.99999999907</v>
      </c>
      <c r="H23" s="13">
        <f>170500+1795340.56</f>
        <v>1965840.56</v>
      </c>
      <c r="I23" s="14">
        <v>1162</v>
      </c>
      <c r="J23" s="14">
        <f>272555.03+160187.53+557299</f>
        <v>990041.56</v>
      </c>
      <c r="K23" s="14">
        <f t="shared" ref="K23:K86" si="8">H23+I23-J23</f>
        <v>976961</v>
      </c>
      <c r="L23" s="15">
        <f t="shared" ref="L23:L34" si="9">+F23</f>
        <v>4.1817271081137147E-3</v>
      </c>
      <c r="M23" s="71">
        <f t="shared" si="6"/>
        <v>9.3132257461547852E-10</v>
      </c>
      <c r="N23" s="93"/>
    </row>
    <row r="24" spans="1:15" x14ac:dyDescent="0.2">
      <c r="A24" s="96" t="s">
        <v>21</v>
      </c>
      <c r="B24" s="97">
        <v>266576.99</v>
      </c>
      <c r="C24" s="97">
        <f>266576.99-80893</f>
        <v>185683.99</v>
      </c>
      <c r="D24" s="104">
        <v>553.15</v>
      </c>
      <c r="E24" s="97">
        <v>12161.55</v>
      </c>
      <c r="F24" s="98">
        <f t="shared" si="7"/>
        <v>6.5495953636067389E-2</v>
      </c>
      <c r="G24" s="97">
        <f>+C24+D24-E24</f>
        <v>174075.59</v>
      </c>
      <c r="H24" s="99">
        <v>174075.59</v>
      </c>
      <c r="I24" s="100">
        <v>0</v>
      </c>
      <c r="J24" s="100">
        <v>0</v>
      </c>
      <c r="K24" s="100">
        <f t="shared" si="8"/>
        <v>174075.59</v>
      </c>
      <c r="L24" s="101">
        <f t="shared" si="9"/>
        <v>6.5495953636067389E-2</v>
      </c>
      <c r="M24" s="103">
        <f t="shared" si="6"/>
        <v>0</v>
      </c>
      <c r="N24" s="82"/>
    </row>
    <row r="25" spans="1:15" x14ac:dyDescent="0.2">
      <c r="A25" s="9" t="s">
        <v>22</v>
      </c>
      <c r="B25" s="10">
        <v>757786.85</v>
      </c>
      <c r="C25" s="10">
        <f>375412.66-201977</f>
        <v>173435.65999999997</v>
      </c>
      <c r="D25" s="10">
        <v>553.37</v>
      </c>
      <c r="E25" s="10">
        <v>0</v>
      </c>
      <c r="F25" s="12">
        <f t="shared" si="7"/>
        <v>0</v>
      </c>
      <c r="G25" s="10">
        <f t="shared" ref="G25:G31" si="10">+C25+D25-E25</f>
        <v>173989.02999999997</v>
      </c>
      <c r="H25" s="13">
        <v>174138.54</v>
      </c>
      <c r="I25" s="14">
        <v>0</v>
      </c>
      <c r="J25" s="14">
        <v>0</v>
      </c>
      <c r="K25" s="14">
        <f t="shared" si="8"/>
        <v>174138.54</v>
      </c>
      <c r="L25" s="15">
        <f t="shared" si="9"/>
        <v>0</v>
      </c>
      <c r="M25" s="95">
        <f t="shared" si="6"/>
        <v>149.51000000003842</v>
      </c>
    </row>
    <row r="26" spans="1:15" x14ac:dyDescent="0.2">
      <c r="A26" s="96" t="s">
        <v>23</v>
      </c>
      <c r="B26" s="97">
        <v>919872.2</v>
      </c>
      <c r="C26" s="97">
        <f>1302246.39-788192.61</f>
        <v>514053.77999999991</v>
      </c>
      <c r="D26" s="97">
        <v>408.58</v>
      </c>
      <c r="E26" s="97">
        <v>455516.24</v>
      </c>
      <c r="F26" s="98">
        <f t="shared" si="7"/>
        <v>0.88612565012166644</v>
      </c>
      <c r="G26" s="97">
        <f t="shared" si="10"/>
        <v>58946.119999999937</v>
      </c>
      <c r="H26" s="99">
        <v>58946.12</v>
      </c>
      <c r="I26" s="100">
        <v>0</v>
      </c>
      <c r="J26" s="100">
        <v>0</v>
      </c>
      <c r="K26" s="100">
        <f t="shared" si="8"/>
        <v>58946.12</v>
      </c>
      <c r="L26" s="101">
        <f t="shared" si="9"/>
        <v>0.88612565012166644</v>
      </c>
      <c r="M26" s="103">
        <f t="shared" si="6"/>
        <v>6.5483618527650833E-11</v>
      </c>
      <c r="N26" s="82"/>
    </row>
    <row r="27" spans="1:15" x14ac:dyDescent="0.2">
      <c r="A27" s="9" t="s">
        <v>24</v>
      </c>
      <c r="B27" s="10">
        <v>0</v>
      </c>
      <c r="C27" s="10">
        <f>13636634.35-13212786.17-9513.63</f>
        <v>414334.5499999997</v>
      </c>
      <c r="D27" s="11">
        <v>0</v>
      </c>
      <c r="E27" s="10">
        <v>0</v>
      </c>
      <c r="F27" s="12">
        <f t="shared" si="7"/>
        <v>0</v>
      </c>
      <c r="G27" s="10">
        <f>+C27+D27-E27</f>
        <v>414334.5499999997</v>
      </c>
      <c r="H27" s="13">
        <v>38498.339999999997</v>
      </c>
      <c r="I27" s="14">
        <v>457357</v>
      </c>
      <c r="J27" s="14">
        <f>52394.42+7312.79+22272.58</f>
        <v>81979.790000000008</v>
      </c>
      <c r="K27" s="14">
        <f t="shared" si="8"/>
        <v>413875.54999999993</v>
      </c>
      <c r="L27" s="15">
        <f t="shared" si="9"/>
        <v>0</v>
      </c>
      <c r="M27" s="61">
        <f t="shared" si="6"/>
        <v>-458.99999999976717</v>
      </c>
    </row>
    <row r="28" spans="1:15" x14ac:dyDescent="0.2">
      <c r="A28" s="96" t="s">
        <v>25</v>
      </c>
      <c r="B28" s="97">
        <v>868753.03</v>
      </c>
      <c r="C28" s="97">
        <f>868753.03-542712.97</f>
        <v>326040.06000000006</v>
      </c>
      <c r="D28" s="97">
        <v>1039.79</v>
      </c>
      <c r="E28" s="97">
        <v>0</v>
      </c>
      <c r="F28" s="98">
        <f t="shared" si="7"/>
        <v>0</v>
      </c>
      <c r="G28" s="97">
        <f t="shared" si="10"/>
        <v>327079.85000000003</v>
      </c>
      <c r="H28" s="99">
        <v>327211.15999999997</v>
      </c>
      <c r="I28" s="100">
        <v>0</v>
      </c>
      <c r="J28" s="100">
        <v>0</v>
      </c>
      <c r="K28" s="100">
        <f t="shared" si="8"/>
        <v>327211.15999999997</v>
      </c>
      <c r="L28" s="101">
        <f t="shared" si="9"/>
        <v>0</v>
      </c>
      <c r="M28" s="102">
        <f t="shared" si="6"/>
        <v>131.30999999993946</v>
      </c>
    </row>
    <row r="29" spans="1:15" x14ac:dyDescent="0.2">
      <c r="A29" s="9" t="s">
        <v>27</v>
      </c>
      <c r="B29" s="10">
        <v>573447.68000000005</v>
      </c>
      <c r="C29" s="10">
        <f>573447.69-569680.32</f>
        <v>3767.3699999999953</v>
      </c>
      <c r="D29" s="11">
        <v>0</v>
      </c>
      <c r="E29" s="10">
        <v>0</v>
      </c>
      <c r="F29" s="12">
        <f t="shared" si="7"/>
        <v>0</v>
      </c>
      <c r="G29" s="10">
        <f t="shared" si="10"/>
        <v>3767.3699999999953</v>
      </c>
      <c r="H29" s="13">
        <v>3767.37</v>
      </c>
      <c r="I29" s="14">
        <v>0</v>
      </c>
      <c r="J29" s="14">
        <v>0</v>
      </c>
      <c r="K29" s="14">
        <f t="shared" si="8"/>
        <v>3767.37</v>
      </c>
      <c r="L29" s="15">
        <f t="shared" si="9"/>
        <v>0</v>
      </c>
      <c r="M29" s="71">
        <f t="shared" si="6"/>
        <v>4.5474735088646412E-12</v>
      </c>
      <c r="N29" s="82"/>
    </row>
    <row r="30" spans="1:15" x14ac:dyDescent="0.2">
      <c r="A30" s="96" t="s">
        <v>28</v>
      </c>
      <c r="B30" s="97">
        <v>36484.65</v>
      </c>
      <c r="C30" s="97">
        <f>36484.65+12161.55</f>
        <v>48646.2</v>
      </c>
      <c r="D30" s="104">
        <v>0</v>
      </c>
      <c r="E30" s="97">
        <v>0</v>
      </c>
      <c r="F30" s="98">
        <f t="shared" si="7"/>
        <v>0</v>
      </c>
      <c r="G30" s="97">
        <f t="shared" si="10"/>
        <v>48646.2</v>
      </c>
      <c r="H30" s="99">
        <v>48646.2</v>
      </c>
      <c r="I30" s="100">
        <v>0</v>
      </c>
      <c r="J30" s="100">
        <v>0</v>
      </c>
      <c r="K30" s="100">
        <f t="shared" si="8"/>
        <v>48646.2</v>
      </c>
      <c r="L30" s="101">
        <f t="shared" si="9"/>
        <v>0</v>
      </c>
      <c r="M30" s="103">
        <f t="shared" si="6"/>
        <v>0</v>
      </c>
      <c r="N30" s="82"/>
    </row>
    <row r="31" spans="1:15" x14ac:dyDescent="0.2">
      <c r="A31" s="9" t="s">
        <v>29</v>
      </c>
      <c r="B31" s="10">
        <v>25802087</v>
      </c>
      <c r="C31" s="10">
        <f>25802087+2061.7-21535015.98</f>
        <v>4269132.7199999988</v>
      </c>
      <c r="D31" s="45"/>
      <c r="E31" s="10">
        <v>2579664.27</v>
      </c>
      <c r="F31" s="12">
        <f t="shared" si="7"/>
        <v>0.60425956258394342</v>
      </c>
      <c r="G31" s="10">
        <f t="shared" si="10"/>
        <v>1689468.4499999988</v>
      </c>
      <c r="H31" s="13">
        <f>2969046.34-1185122.76</f>
        <v>1783923.5799999998</v>
      </c>
      <c r="I31" s="14">
        <v>122706</v>
      </c>
      <c r="J31" s="14">
        <f>20016.25+101558.56+73295.32+22291.07</f>
        <v>217161.2</v>
      </c>
      <c r="K31" s="14">
        <f>H31+I31-J31</f>
        <v>1689468.38</v>
      </c>
      <c r="L31" s="15">
        <f t="shared" si="9"/>
        <v>0.60425956258394342</v>
      </c>
      <c r="M31" s="95">
        <f t="shared" si="6"/>
        <v>-6.9999998901039362E-2</v>
      </c>
      <c r="N31" s="18"/>
      <c r="O31" s="18"/>
    </row>
    <row r="32" spans="1:15" x14ac:dyDescent="0.2">
      <c r="A32" s="96" t="s">
        <v>30</v>
      </c>
      <c r="B32" s="97">
        <v>0</v>
      </c>
      <c r="C32" s="97">
        <f>19272341-17976826.68-1101765.3</f>
        <v>193749.02000000025</v>
      </c>
      <c r="D32" s="97">
        <v>0</v>
      </c>
      <c r="E32" s="97">
        <v>0</v>
      </c>
      <c r="F32" s="98">
        <f t="shared" si="7"/>
        <v>0</v>
      </c>
      <c r="G32" s="97">
        <f>+C32+D32-E32</f>
        <v>193749.02000000025</v>
      </c>
      <c r="H32" s="99">
        <v>167473.73000000001</v>
      </c>
      <c r="I32" s="100">
        <v>296402</v>
      </c>
      <c r="J32" s="100">
        <f>26299+244312.48</f>
        <v>270611.48</v>
      </c>
      <c r="K32" s="100">
        <f>H32+I32-J32</f>
        <v>193264.25</v>
      </c>
      <c r="L32" s="101">
        <f t="shared" si="9"/>
        <v>0</v>
      </c>
      <c r="M32" s="102">
        <f>+K32-G32</f>
        <v>-484.77000000025146</v>
      </c>
      <c r="N32" s="19"/>
      <c r="O32" s="18"/>
    </row>
    <row r="33" spans="1:14" x14ac:dyDescent="0.2">
      <c r="A33" s="9" t="s">
        <v>31</v>
      </c>
      <c r="B33" s="10">
        <v>0</v>
      </c>
      <c r="C33" s="10">
        <v>700000</v>
      </c>
      <c r="D33" s="11">
        <v>0</v>
      </c>
      <c r="E33" s="10">
        <v>700000</v>
      </c>
      <c r="F33" s="12">
        <f t="shared" si="7"/>
        <v>1</v>
      </c>
      <c r="G33" s="11">
        <v>0</v>
      </c>
      <c r="H33" s="13">
        <v>9956.9</v>
      </c>
      <c r="I33" s="14">
        <v>0</v>
      </c>
      <c r="J33" s="14">
        <f>6034.48+3017.24+905.18</f>
        <v>9956.9</v>
      </c>
      <c r="K33" s="14">
        <f t="shared" si="8"/>
        <v>0</v>
      </c>
      <c r="L33" s="15">
        <f t="shared" si="9"/>
        <v>1</v>
      </c>
      <c r="M33" s="71">
        <f t="shared" ref="M33:M95" si="11">+K33-G33</f>
        <v>0</v>
      </c>
      <c r="N33" s="82"/>
    </row>
    <row r="34" spans="1:14" x14ac:dyDescent="0.2">
      <c r="A34" s="96" t="s">
        <v>32</v>
      </c>
      <c r="B34" s="97">
        <v>1483500</v>
      </c>
      <c r="C34" s="97">
        <v>1483500</v>
      </c>
      <c r="D34" s="104">
        <v>0</v>
      </c>
      <c r="E34" s="97">
        <v>1483500</v>
      </c>
      <c r="F34" s="98">
        <f>+E34/C34</f>
        <v>1</v>
      </c>
      <c r="G34" s="104">
        <v>0</v>
      </c>
      <c r="H34" s="99">
        <v>21101.51</v>
      </c>
      <c r="I34" s="100">
        <v>0</v>
      </c>
      <c r="J34" s="100">
        <f>12788.79+6394.4+1918.32</f>
        <v>21101.510000000002</v>
      </c>
      <c r="K34" s="100">
        <f t="shared" si="8"/>
        <v>0</v>
      </c>
      <c r="L34" s="101">
        <f t="shared" si="9"/>
        <v>1</v>
      </c>
      <c r="M34" s="103">
        <f t="shared" si="11"/>
        <v>0</v>
      </c>
      <c r="N34" s="82"/>
    </row>
    <row r="35" spans="1:14" s="5" customFormat="1" x14ac:dyDescent="0.2">
      <c r="A35" s="20" t="s">
        <v>33</v>
      </c>
      <c r="B35" s="21">
        <f>SUM(B22:B34)</f>
        <v>68666749.510000005</v>
      </c>
      <c r="C35" s="21">
        <f>SUM(C22:C34)</f>
        <v>10267685.529999999</v>
      </c>
      <c r="D35" s="21">
        <f>SUM(D22:D34)</f>
        <v>2554.89</v>
      </c>
      <c r="E35" s="21">
        <f>SUM(E22:E34)</f>
        <v>5234944.5999999996</v>
      </c>
      <c r="F35" s="22">
        <f>+E35/C35</f>
        <v>0.50984660415481187</v>
      </c>
      <c r="G35" s="21">
        <f>SUM(G22:G34)</f>
        <v>5035295.8199999994</v>
      </c>
      <c r="H35" s="21">
        <f>SUM(H22:H34)</f>
        <v>5555563.4800000004</v>
      </c>
      <c r="I35" s="21">
        <f>SUM(I22:I34)</f>
        <v>1071899.6800000002</v>
      </c>
      <c r="J35" s="21">
        <f>SUM(J22:J34)</f>
        <v>1592830.3599999999</v>
      </c>
      <c r="K35" s="21">
        <f>SUM(K22:K34)</f>
        <v>5034632.8000000007</v>
      </c>
      <c r="L35" s="23"/>
      <c r="M35" s="95">
        <f t="shared" si="11"/>
        <v>-663.01999999862164</v>
      </c>
    </row>
    <row r="36" spans="1:14" x14ac:dyDescent="0.2">
      <c r="A36" s="9" t="s">
        <v>18</v>
      </c>
      <c r="B36" s="10">
        <v>0</v>
      </c>
      <c r="C36" s="10">
        <v>0</v>
      </c>
      <c r="D36" s="13"/>
      <c r="E36" s="10">
        <v>0</v>
      </c>
      <c r="F36" s="12">
        <v>0</v>
      </c>
      <c r="G36" s="10">
        <v>4283.6000000000004</v>
      </c>
      <c r="H36" s="10">
        <v>32268.68</v>
      </c>
      <c r="I36" s="10">
        <v>0</v>
      </c>
      <c r="J36" s="10">
        <v>27985.08</v>
      </c>
      <c r="K36" s="10">
        <f t="shared" si="8"/>
        <v>4283.5999999999985</v>
      </c>
      <c r="L36" s="15"/>
      <c r="M36" s="95">
        <f t="shared" si="11"/>
        <v>0</v>
      </c>
    </row>
    <row r="37" spans="1:14" x14ac:dyDescent="0.2">
      <c r="A37" s="9" t="s">
        <v>20</v>
      </c>
      <c r="B37" s="10">
        <v>0</v>
      </c>
      <c r="C37" s="10">
        <v>0</v>
      </c>
      <c r="D37" s="13"/>
      <c r="E37" s="10">
        <v>0</v>
      </c>
      <c r="F37" s="12">
        <v>0</v>
      </c>
      <c r="G37" s="10">
        <v>45477.47</v>
      </c>
      <c r="H37" s="10">
        <v>45477.47</v>
      </c>
      <c r="I37" s="10">
        <v>0</v>
      </c>
      <c r="J37" s="10">
        <v>0</v>
      </c>
      <c r="K37" s="10">
        <f t="shared" si="8"/>
        <v>45477.47</v>
      </c>
      <c r="L37" s="15"/>
      <c r="M37" s="95">
        <f t="shared" si="11"/>
        <v>0</v>
      </c>
    </row>
    <row r="38" spans="1:14" x14ac:dyDescent="0.2">
      <c r="A38" s="9" t="s">
        <v>25</v>
      </c>
      <c r="B38" s="10">
        <v>0</v>
      </c>
      <c r="C38" s="10">
        <v>0</v>
      </c>
      <c r="D38" s="13"/>
      <c r="E38" s="10">
        <v>0</v>
      </c>
      <c r="F38" s="12">
        <v>0</v>
      </c>
      <c r="G38" s="10">
        <v>45082.35</v>
      </c>
      <c r="H38" s="10">
        <v>45082.35</v>
      </c>
      <c r="I38" s="10">
        <v>0</v>
      </c>
      <c r="J38" s="10">
        <v>0</v>
      </c>
      <c r="K38" s="10">
        <f t="shared" si="8"/>
        <v>45082.35</v>
      </c>
      <c r="L38" s="15"/>
      <c r="M38" s="95">
        <f t="shared" si="11"/>
        <v>0</v>
      </c>
    </row>
    <row r="39" spans="1:14" x14ac:dyDescent="0.2">
      <c r="A39" s="9" t="s">
        <v>26</v>
      </c>
      <c r="B39" s="10">
        <v>0</v>
      </c>
      <c r="C39" s="10">
        <v>0</v>
      </c>
      <c r="D39" s="13"/>
      <c r="E39" s="10">
        <v>0</v>
      </c>
      <c r="F39" s="12">
        <v>0</v>
      </c>
      <c r="G39" s="10">
        <v>220218.16</v>
      </c>
      <c r="H39" s="10">
        <v>20218.16</v>
      </c>
      <c r="I39" s="10">
        <v>200000</v>
      </c>
      <c r="J39" s="10">
        <v>0</v>
      </c>
      <c r="K39" s="10">
        <f t="shared" si="8"/>
        <v>220218.16</v>
      </c>
      <c r="L39" s="15"/>
      <c r="M39" s="95">
        <f t="shared" si="11"/>
        <v>0</v>
      </c>
    </row>
    <row r="40" spans="1:14" x14ac:dyDescent="0.2">
      <c r="A40" s="9" t="s">
        <v>29</v>
      </c>
      <c r="B40" s="10">
        <v>0</v>
      </c>
      <c r="C40" s="10">
        <v>0</v>
      </c>
      <c r="D40" s="11">
        <v>0</v>
      </c>
      <c r="E40" s="10">
        <v>0</v>
      </c>
      <c r="F40" s="12">
        <v>0</v>
      </c>
      <c r="G40" s="10">
        <v>2494385.7599999998</v>
      </c>
      <c r="H40" s="10">
        <f>66.53+2511998.64</f>
        <v>2512065.17</v>
      </c>
      <c r="I40" s="10">
        <v>0</v>
      </c>
      <c r="J40" s="10">
        <v>17679.41</v>
      </c>
      <c r="K40" s="10">
        <f t="shared" si="8"/>
        <v>2494385.7599999998</v>
      </c>
      <c r="L40" s="15"/>
      <c r="M40" s="95">
        <f t="shared" si="11"/>
        <v>0</v>
      </c>
    </row>
    <row r="41" spans="1:14" ht="27" x14ac:dyDescent="0.2">
      <c r="A41" s="9" t="s">
        <v>34</v>
      </c>
      <c r="B41" s="10">
        <v>0</v>
      </c>
      <c r="C41" s="10">
        <v>154782.26</v>
      </c>
      <c r="D41" s="13">
        <v>0</v>
      </c>
      <c r="E41" s="10">
        <v>0</v>
      </c>
      <c r="F41" s="12">
        <v>0</v>
      </c>
      <c r="G41" s="10">
        <f>+C41+D41-E41</f>
        <v>154782.26</v>
      </c>
      <c r="H41" s="10">
        <v>237102.37</v>
      </c>
      <c r="I41" s="10">
        <v>0</v>
      </c>
      <c r="J41" s="10">
        <v>82320.11</v>
      </c>
      <c r="K41" s="10">
        <f t="shared" si="8"/>
        <v>154782.26</v>
      </c>
      <c r="L41" s="15"/>
      <c r="M41" s="95">
        <f t="shared" si="11"/>
        <v>0</v>
      </c>
    </row>
    <row r="42" spans="1:14" x14ac:dyDescent="0.2">
      <c r="A42" s="9"/>
      <c r="B42" s="10">
        <v>0</v>
      </c>
      <c r="C42" s="10">
        <v>0</v>
      </c>
      <c r="D42" s="10"/>
      <c r="E42" s="10">
        <v>0</v>
      </c>
      <c r="F42" s="12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8"/>
        <v>0</v>
      </c>
      <c r="L42" s="15"/>
      <c r="M42" s="95">
        <f t="shared" si="11"/>
        <v>0</v>
      </c>
    </row>
    <row r="43" spans="1:14" x14ac:dyDescent="0.2">
      <c r="A43" s="24" t="s">
        <v>35</v>
      </c>
      <c r="B43" s="25">
        <f>SUM(B36:B42)</f>
        <v>0</v>
      </c>
      <c r="C43" s="25">
        <f t="shared" ref="C43:K43" si="12">SUM(C36:C42)</f>
        <v>154782.26</v>
      </c>
      <c r="D43" s="25">
        <f t="shared" si="12"/>
        <v>0</v>
      </c>
      <c r="E43" s="25">
        <f t="shared" si="12"/>
        <v>0</v>
      </c>
      <c r="F43" s="25">
        <f t="shared" si="12"/>
        <v>0</v>
      </c>
      <c r="G43" s="25">
        <f t="shared" si="12"/>
        <v>2964229.5999999996</v>
      </c>
      <c r="H43" s="25">
        <f t="shared" si="12"/>
        <v>2892214.2</v>
      </c>
      <c r="I43" s="25">
        <f t="shared" si="12"/>
        <v>200000</v>
      </c>
      <c r="J43" s="25">
        <f t="shared" si="12"/>
        <v>127984.6</v>
      </c>
      <c r="K43" s="25">
        <f t="shared" si="12"/>
        <v>2964229.5999999996</v>
      </c>
      <c r="L43" s="27"/>
      <c r="M43" s="95">
        <f t="shared" si="11"/>
        <v>0</v>
      </c>
    </row>
    <row r="44" spans="1:14" x14ac:dyDescent="0.2">
      <c r="A44" s="9" t="s">
        <v>18</v>
      </c>
      <c r="B44" s="10">
        <v>0</v>
      </c>
      <c r="C44" s="10">
        <v>0</v>
      </c>
      <c r="D44" s="10"/>
      <c r="E44" s="10">
        <v>0</v>
      </c>
      <c r="F44" s="12">
        <v>0</v>
      </c>
      <c r="G44" s="10">
        <v>57064.89</v>
      </c>
      <c r="H44" s="10">
        <v>132233.86000000002</v>
      </c>
      <c r="I44" s="10">
        <v>185.03</v>
      </c>
      <c r="J44" s="10">
        <v>75354</v>
      </c>
      <c r="K44" s="10">
        <f t="shared" si="8"/>
        <v>57064.890000000014</v>
      </c>
      <c r="L44" s="15"/>
      <c r="M44" s="95">
        <f t="shared" si="11"/>
        <v>0</v>
      </c>
    </row>
    <row r="45" spans="1:14" x14ac:dyDescent="0.2">
      <c r="A45" s="9" t="s">
        <v>36</v>
      </c>
      <c r="B45" s="10">
        <v>0</v>
      </c>
      <c r="C45" s="10">
        <v>0</v>
      </c>
      <c r="D45" s="10"/>
      <c r="E45" s="10">
        <v>0</v>
      </c>
      <c r="F45" s="12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8"/>
        <v>0</v>
      </c>
      <c r="L45" s="15"/>
      <c r="M45" s="95">
        <f t="shared" si="11"/>
        <v>0</v>
      </c>
    </row>
    <row r="46" spans="1:14" x14ac:dyDescent="0.2">
      <c r="A46" s="9" t="s">
        <v>20</v>
      </c>
      <c r="B46" s="10">
        <v>0</v>
      </c>
      <c r="C46" s="10">
        <v>0</v>
      </c>
      <c r="D46" s="10"/>
      <c r="E46" s="10">
        <v>0</v>
      </c>
      <c r="F46" s="12">
        <v>0</v>
      </c>
      <c r="G46" s="10">
        <v>54914.5</v>
      </c>
      <c r="H46" s="10">
        <v>51501.9</v>
      </c>
      <c r="I46" s="10">
        <v>0</v>
      </c>
      <c r="J46" s="10">
        <v>-3412.6000000000931</v>
      </c>
      <c r="K46" s="10">
        <f t="shared" si="8"/>
        <v>54914.500000000095</v>
      </c>
      <c r="L46" s="15"/>
      <c r="M46" s="95">
        <f t="shared" si="11"/>
        <v>9.4587448984384537E-11</v>
      </c>
    </row>
    <row r="47" spans="1:14" x14ac:dyDescent="0.2">
      <c r="A47" s="9" t="s">
        <v>21</v>
      </c>
      <c r="B47" s="10">
        <v>0</v>
      </c>
      <c r="C47" s="10">
        <v>0</v>
      </c>
      <c r="D47" s="10"/>
      <c r="E47" s="10">
        <v>0</v>
      </c>
      <c r="F47" s="12">
        <v>0</v>
      </c>
      <c r="G47" s="10">
        <v>5979.07</v>
      </c>
      <c r="H47" s="10">
        <v>5979.07</v>
      </c>
      <c r="I47" s="10">
        <v>0</v>
      </c>
      <c r="J47" s="10">
        <v>0</v>
      </c>
      <c r="K47" s="10">
        <f t="shared" si="8"/>
        <v>5979.07</v>
      </c>
      <c r="L47" s="15"/>
      <c r="M47" s="95">
        <f t="shared" si="11"/>
        <v>0</v>
      </c>
    </row>
    <row r="48" spans="1:14" x14ac:dyDescent="0.2">
      <c r="A48" s="9" t="s">
        <v>22</v>
      </c>
      <c r="B48" s="10">
        <v>0</v>
      </c>
      <c r="C48" s="10">
        <v>0</v>
      </c>
      <c r="D48" s="10"/>
      <c r="E48" s="10">
        <v>0</v>
      </c>
      <c r="F48" s="12">
        <v>0</v>
      </c>
      <c r="G48" s="10">
        <v>60932.3</v>
      </c>
      <c r="H48" s="10">
        <v>60932.3</v>
      </c>
      <c r="I48" s="10">
        <v>0</v>
      </c>
      <c r="J48" s="10">
        <v>0</v>
      </c>
      <c r="K48" s="10">
        <f t="shared" si="8"/>
        <v>60932.3</v>
      </c>
      <c r="L48" s="15"/>
      <c r="M48" s="95">
        <f t="shared" si="11"/>
        <v>0</v>
      </c>
    </row>
    <row r="49" spans="1:13" x14ac:dyDescent="0.2">
      <c r="A49" s="9" t="s">
        <v>24</v>
      </c>
      <c r="B49" s="10">
        <v>0</v>
      </c>
      <c r="C49" s="10">
        <v>0</v>
      </c>
      <c r="D49" s="10"/>
      <c r="E49" s="10">
        <v>0</v>
      </c>
      <c r="F49" s="12">
        <v>0</v>
      </c>
      <c r="G49" s="10">
        <v>17486.5</v>
      </c>
      <c r="H49" s="10">
        <v>17486.5</v>
      </c>
      <c r="I49" s="10">
        <v>0</v>
      </c>
      <c r="J49" s="10">
        <v>0</v>
      </c>
      <c r="K49" s="10">
        <f t="shared" si="8"/>
        <v>17486.5</v>
      </c>
      <c r="L49" s="15"/>
      <c r="M49" s="95">
        <f t="shared" si="11"/>
        <v>0</v>
      </c>
    </row>
    <row r="50" spans="1:13" x14ac:dyDescent="0.2">
      <c r="A50" s="9" t="s">
        <v>25</v>
      </c>
      <c r="B50" s="10">
        <v>0</v>
      </c>
      <c r="C50" s="10">
        <v>0</v>
      </c>
      <c r="D50" s="10"/>
      <c r="E50" s="10">
        <v>0</v>
      </c>
      <c r="F50" s="12">
        <v>0</v>
      </c>
      <c r="G50" s="10">
        <v>11051.67</v>
      </c>
      <c r="H50" s="10">
        <v>11051.67</v>
      </c>
      <c r="I50" s="10">
        <v>0</v>
      </c>
      <c r="J50" s="10">
        <v>0</v>
      </c>
      <c r="K50" s="10">
        <f t="shared" si="8"/>
        <v>11051.67</v>
      </c>
      <c r="L50" s="15"/>
      <c r="M50" s="95">
        <f t="shared" si="11"/>
        <v>0</v>
      </c>
    </row>
    <row r="51" spans="1:13" x14ac:dyDescent="0.2">
      <c r="A51" s="9" t="s">
        <v>29</v>
      </c>
      <c r="B51" s="10">
        <v>0</v>
      </c>
      <c r="C51" s="10">
        <v>0</v>
      </c>
      <c r="D51" s="10">
        <v>0</v>
      </c>
      <c r="E51" s="10">
        <v>0</v>
      </c>
      <c r="F51" s="12">
        <v>0</v>
      </c>
      <c r="G51" s="10">
        <v>148467.66</v>
      </c>
      <c r="H51" s="10">
        <v>158380.9</v>
      </c>
      <c r="I51" s="10"/>
      <c r="J51" s="10">
        <f>2876.27+7036.97</f>
        <v>9913.24</v>
      </c>
      <c r="K51" s="10">
        <f t="shared" si="8"/>
        <v>148467.66</v>
      </c>
      <c r="L51" s="15"/>
      <c r="M51" s="95">
        <f t="shared" si="11"/>
        <v>0</v>
      </c>
    </row>
    <row r="52" spans="1:13" x14ac:dyDescent="0.2">
      <c r="A52" s="9" t="s">
        <v>30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6199.68</v>
      </c>
      <c r="H52" s="10">
        <v>0</v>
      </c>
      <c r="I52" s="10">
        <v>6199.68</v>
      </c>
      <c r="J52" s="10">
        <v>0</v>
      </c>
      <c r="K52" s="10">
        <f t="shared" si="8"/>
        <v>6199.68</v>
      </c>
      <c r="L52" s="15"/>
      <c r="M52" s="95">
        <f t="shared" si="11"/>
        <v>0</v>
      </c>
    </row>
    <row r="53" spans="1:13" x14ac:dyDescent="0.2">
      <c r="A53" s="9">
        <v>3001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510.97</v>
      </c>
      <c r="H53" s="10">
        <v>696</v>
      </c>
      <c r="I53" s="10">
        <v>0</v>
      </c>
      <c r="J53" s="10">
        <v>185.03</v>
      </c>
      <c r="K53" s="10">
        <f t="shared" si="8"/>
        <v>510.97</v>
      </c>
      <c r="L53" s="15"/>
      <c r="M53" s="95">
        <f t="shared" si="11"/>
        <v>0</v>
      </c>
    </row>
    <row r="54" spans="1:13" x14ac:dyDescent="0.2">
      <c r="A54" s="9">
        <v>3002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64791.47</v>
      </c>
      <c r="H54" s="10">
        <v>64920.78</v>
      </c>
      <c r="I54" s="10">
        <v>0</v>
      </c>
      <c r="J54" s="10">
        <v>129.31</v>
      </c>
      <c r="K54" s="10">
        <f t="shared" si="8"/>
        <v>64791.47</v>
      </c>
      <c r="L54" s="15"/>
      <c r="M54" s="95">
        <f t="shared" si="11"/>
        <v>0</v>
      </c>
    </row>
    <row r="55" spans="1:13" x14ac:dyDescent="0.2">
      <c r="A55" s="9"/>
      <c r="B55" s="10">
        <v>0</v>
      </c>
      <c r="C55" s="10">
        <v>0</v>
      </c>
      <c r="D55" s="10"/>
      <c r="E55" s="10">
        <v>0</v>
      </c>
      <c r="F55" s="12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8"/>
        <v>0</v>
      </c>
      <c r="L55" s="15"/>
      <c r="M55" s="95">
        <f t="shared" si="11"/>
        <v>0</v>
      </c>
    </row>
    <row r="56" spans="1:13" x14ac:dyDescent="0.2">
      <c r="A56" s="24" t="s">
        <v>37</v>
      </c>
      <c r="B56" s="25">
        <f>SUM(B44:B55)</f>
        <v>0</v>
      </c>
      <c r="C56" s="25">
        <f t="shared" ref="C56:K56" si="13">SUM(C44:C55)</f>
        <v>0</v>
      </c>
      <c r="D56" s="25">
        <f t="shared" si="13"/>
        <v>0</v>
      </c>
      <c r="E56" s="25">
        <f t="shared" si="13"/>
        <v>0</v>
      </c>
      <c r="F56" s="25">
        <f t="shared" si="13"/>
        <v>0</v>
      </c>
      <c r="G56" s="25">
        <f t="shared" si="13"/>
        <v>427398.70999999996</v>
      </c>
      <c r="H56" s="25">
        <f t="shared" si="13"/>
        <v>503182.98</v>
      </c>
      <c r="I56" s="25">
        <f t="shared" si="13"/>
        <v>6384.71</v>
      </c>
      <c r="J56" s="25">
        <f t="shared" si="13"/>
        <v>82168.979999999909</v>
      </c>
      <c r="K56" s="25">
        <f t="shared" si="13"/>
        <v>427398.71000000008</v>
      </c>
      <c r="L56" s="27"/>
      <c r="M56" s="95">
        <f>+K56-G56</f>
        <v>0</v>
      </c>
    </row>
    <row r="57" spans="1:13" x14ac:dyDescent="0.2">
      <c r="A57" s="9" t="s">
        <v>18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38436.01</v>
      </c>
      <c r="H57" s="10">
        <v>62509.189999999988</v>
      </c>
      <c r="I57" s="10">
        <v>236626.82</v>
      </c>
      <c r="J57" s="10">
        <v>260700</v>
      </c>
      <c r="K57" s="10">
        <f t="shared" si="8"/>
        <v>38436.010000000009</v>
      </c>
      <c r="L57" s="15"/>
      <c r="M57" s="95">
        <f t="shared" si="11"/>
        <v>0</v>
      </c>
    </row>
    <row r="58" spans="1:13" x14ac:dyDescent="0.2">
      <c r="A58" s="9" t="s">
        <v>20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137672.87</v>
      </c>
      <c r="H58" s="10">
        <v>19069.32</v>
      </c>
      <c r="I58" s="10">
        <v>1797063.97</v>
      </c>
      <c r="J58" s="10">
        <v>1678460.42</v>
      </c>
      <c r="K58" s="10">
        <f t="shared" si="8"/>
        <v>137672.87000000011</v>
      </c>
      <c r="L58" s="15"/>
      <c r="M58" s="95">
        <f t="shared" si="11"/>
        <v>0</v>
      </c>
    </row>
    <row r="59" spans="1:13" x14ac:dyDescent="0.2">
      <c r="A59" s="9" t="s">
        <v>24</v>
      </c>
      <c r="B59" s="10">
        <v>0</v>
      </c>
      <c r="C59" s="10">
        <v>17884.25</v>
      </c>
      <c r="D59" s="10">
        <f>7.16+6.59</f>
        <v>13.75</v>
      </c>
      <c r="E59" s="10">
        <v>696</v>
      </c>
      <c r="F59" s="12">
        <v>0</v>
      </c>
      <c r="G59" s="10">
        <f>+C59+D59-E59</f>
        <v>17202</v>
      </c>
      <c r="H59" s="10">
        <v>17202</v>
      </c>
      <c r="I59" s="10">
        <v>0</v>
      </c>
      <c r="J59" s="10">
        <v>0</v>
      </c>
      <c r="K59" s="10">
        <f t="shared" si="8"/>
        <v>17202</v>
      </c>
      <c r="L59" s="15"/>
      <c r="M59" s="62">
        <f t="shared" si="11"/>
        <v>0</v>
      </c>
    </row>
    <row r="60" spans="1:13" x14ac:dyDescent="0.2">
      <c r="A60" s="9" t="s">
        <v>25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18649.8</v>
      </c>
      <c r="H60" s="10">
        <v>40388.06</v>
      </c>
      <c r="I60" s="10">
        <v>100000</v>
      </c>
      <c r="J60" s="10">
        <v>121738.26</v>
      </c>
      <c r="K60" s="10">
        <f t="shared" si="8"/>
        <v>18649.800000000003</v>
      </c>
      <c r="L60" s="15"/>
      <c r="M60" s="95">
        <f t="shared" si="11"/>
        <v>0</v>
      </c>
    </row>
    <row r="61" spans="1:13" x14ac:dyDescent="0.2">
      <c r="A61" s="9" t="s">
        <v>29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337850.79</v>
      </c>
      <c r="H61" s="10">
        <v>419631.03</v>
      </c>
      <c r="I61" s="10">
        <v>-7.49</v>
      </c>
      <c r="J61" s="10">
        <v>81772.75</v>
      </c>
      <c r="K61" s="10">
        <f t="shared" si="8"/>
        <v>337850.79000000004</v>
      </c>
      <c r="L61" s="15"/>
      <c r="M61" s="95">
        <f t="shared" si="11"/>
        <v>0</v>
      </c>
    </row>
    <row r="62" spans="1:13" x14ac:dyDescent="0.2">
      <c r="A62" s="9" t="s">
        <v>30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0</v>
      </c>
      <c r="H62" s="10">
        <v>538779.80000000005</v>
      </c>
      <c r="I62" s="10">
        <v>0</v>
      </c>
      <c r="J62" s="10">
        <v>538779.80000000005</v>
      </c>
      <c r="K62" s="10">
        <f t="shared" si="8"/>
        <v>0</v>
      </c>
      <c r="L62" s="15"/>
      <c r="M62" s="95">
        <f t="shared" si="11"/>
        <v>0</v>
      </c>
    </row>
    <row r="63" spans="1:13" x14ac:dyDescent="0.2">
      <c r="A63" s="9">
        <v>3001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314.99</v>
      </c>
      <c r="H63" s="10">
        <v>315</v>
      </c>
      <c r="I63" s="10">
        <v>0</v>
      </c>
      <c r="J63" s="10">
        <v>0.01</v>
      </c>
      <c r="K63" s="10">
        <f t="shared" si="8"/>
        <v>314.99</v>
      </c>
      <c r="L63" s="15"/>
      <c r="M63" s="95">
        <f t="shared" si="11"/>
        <v>0</v>
      </c>
    </row>
    <row r="64" spans="1:13" x14ac:dyDescent="0.2">
      <c r="A64" s="9">
        <v>3002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12858.9</v>
      </c>
      <c r="H64" s="10">
        <v>12858.91</v>
      </c>
      <c r="I64" s="10">
        <v>0</v>
      </c>
      <c r="J64" s="10">
        <v>0.01</v>
      </c>
      <c r="K64" s="10">
        <f t="shared" si="8"/>
        <v>12858.9</v>
      </c>
      <c r="L64" s="15"/>
      <c r="M64" s="95">
        <f t="shared" si="11"/>
        <v>0</v>
      </c>
    </row>
    <row r="65" spans="1:13" x14ac:dyDescent="0.2">
      <c r="A65" s="9"/>
      <c r="B65" s="10">
        <v>0</v>
      </c>
      <c r="C65" s="10">
        <v>0</v>
      </c>
      <c r="D65" s="10"/>
      <c r="E65" s="10">
        <v>0</v>
      </c>
      <c r="F65" s="12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8"/>
        <v>0</v>
      </c>
      <c r="L65" s="15"/>
      <c r="M65" s="95">
        <f t="shared" si="11"/>
        <v>0</v>
      </c>
    </row>
    <row r="66" spans="1:13" x14ac:dyDescent="0.2">
      <c r="A66" s="24" t="s">
        <v>38</v>
      </c>
      <c r="B66" s="25">
        <f>SUM(B57:B65)</f>
        <v>0</v>
      </c>
      <c r="C66" s="25">
        <f t="shared" ref="C66:K66" si="14">SUM(C57:C65)</f>
        <v>17884.25</v>
      </c>
      <c r="D66" s="25">
        <f t="shared" si="14"/>
        <v>13.75</v>
      </c>
      <c r="E66" s="25">
        <f t="shared" si="14"/>
        <v>696</v>
      </c>
      <c r="F66" s="25">
        <f t="shared" si="14"/>
        <v>0</v>
      </c>
      <c r="G66" s="25">
        <f t="shared" si="14"/>
        <v>562985.36</v>
      </c>
      <c r="H66" s="25">
        <f t="shared" si="14"/>
        <v>1110753.3099999998</v>
      </c>
      <c r="I66" s="25">
        <f t="shared" si="14"/>
        <v>2133683.2999999998</v>
      </c>
      <c r="J66" s="25">
        <f t="shared" si="14"/>
        <v>2681451.2499999991</v>
      </c>
      <c r="K66" s="25">
        <f t="shared" si="14"/>
        <v>562985.36000000022</v>
      </c>
      <c r="L66" s="27"/>
      <c r="M66" s="95">
        <f t="shared" si="11"/>
        <v>0</v>
      </c>
    </row>
    <row r="67" spans="1:13" x14ac:dyDescent="0.2">
      <c r="A67" s="9" t="s">
        <v>18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70435.27</v>
      </c>
      <c r="H67" s="10">
        <v>27196.65</v>
      </c>
      <c r="I67" s="10">
        <v>1260055.98</v>
      </c>
      <c r="J67" s="10">
        <v>1216817.3599999999</v>
      </c>
      <c r="K67" s="10">
        <f t="shared" si="8"/>
        <v>70435.270000000019</v>
      </c>
      <c r="L67" s="15"/>
      <c r="M67" s="95">
        <f t="shared" si="11"/>
        <v>0</v>
      </c>
    </row>
    <row r="68" spans="1:13" x14ac:dyDescent="0.2">
      <c r="A68" s="9" t="s">
        <v>36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-10</v>
      </c>
      <c r="H68" s="10">
        <v>-10</v>
      </c>
      <c r="I68" s="10">
        <v>0</v>
      </c>
      <c r="J68" s="10">
        <v>0</v>
      </c>
      <c r="K68" s="10">
        <f t="shared" si="8"/>
        <v>-10</v>
      </c>
      <c r="L68" s="15"/>
      <c r="M68" s="95">
        <f t="shared" si="11"/>
        <v>0</v>
      </c>
    </row>
    <row r="69" spans="1:13" x14ac:dyDescent="0.2">
      <c r="A69" s="9" t="s">
        <v>20</v>
      </c>
      <c r="B69" s="10">
        <v>0</v>
      </c>
      <c r="C69" s="10">
        <v>0</v>
      </c>
      <c r="D69" s="10"/>
      <c r="E69" s="10">
        <v>0</v>
      </c>
      <c r="F69" s="12">
        <v>0</v>
      </c>
      <c r="G69" s="10">
        <v>10409.09</v>
      </c>
      <c r="H69" s="10">
        <v>8124.4500000000007</v>
      </c>
      <c r="I69" s="10">
        <v>1364164.99</v>
      </c>
      <c r="J69" s="10">
        <v>1361880.35</v>
      </c>
      <c r="K69" s="10">
        <f t="shared" si="8"/>
        <v>10409.089999999851</v>
      </c>
      <c r="L69" s="15"/>
      <c r="M69" s="95">
        <f t="shared" si="11"/>
        <v>-1.4915713109076023E-10</v>
      </c>
    </row>
    <row r="70" spans="1:13" x14ac:dyDescent="0.2">
      <c r="A70" s="9" t="s">
        <v>24</v>
      </c>
      <c r="B70" s="10">
        <v>0</v>
      </c>
      <c r="C70" s="10">
        <v>0</v>
      </c>
      <c r="D70" s="10"/>
      <c r="E70" s="10">
        <v>0</v>
      </c>
      <c r="F70" s="12">
        <v>0</v>
      </c>
      <c r="G70" s="10">
        <v>1150.8900000000001</v>
      </c>
      <c r="H70" s="10">
        <v>42631.81</v>
      </c>
      <c r="I70" s="10">
        <v>412765.08</v>
      </c>
      <c r="J70" s="10">
        <v>454246</v>
      </c>
      <c r="K70" s="10">
        <f t="shared" si="8"/>
        <v>1150.890000000014</v>
      </c>
      <c r="L70" s="15"/>
      <c r="M70" s="95">
        <f t="shared" si="11"/>
        <v>1.3869794202037156E-11</v>
      </c>
    </row>
    <row r="71" spans="1:13" x14ac:dyDescent="0.2">
      <c r="A71" s="9" t="s">
        <v>25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-1415.64</v>
      </c>
      <c r="H71" s="10">
        <v>719.87</v>
      </c>
      <c r="I71" s="10">
        <v>17662.490000000002</v>
      </c>
      <c r="J71" s="10">
        <v>19798</v>
      </c>
      <c r="K71" s="10">
        <f t="shared" si="8"/>
        <v>-1415.6399999999994</v>
      </c>
      <c r="L71" s="15"/>
      <c r="M71" s="95">
        <f t="shared" si="11"/>
        <v>0</v>
      </c>
    </row>
    <row r="72" spans="1:13" x14ac:dyDescent="0.2">
      <c r="A72" s="9" t="s">
        <v>27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267528.84000000003</v>
      </c>
      <c r="H72" s="10">
        <v>0</v>
      </c>
      <c r="I72" s="10">
        <v>267528.84000000003</v>
      </c>
      <c r="J72" s="10">
        <v>0</v>
      </c>
      <c r="K72" s="10">
        <f t="shared" si="8"/>
        <v>267528.84000000003</v>
      </c>
      <c r="L72" s="15"/>
      <c r="M72" s="95">
        <f t="shared" si="11"/>
        <v>0</v>
      </c>
    </row>
    <row r="73" spans="1:13" x14ac:dyDescent="0.2">
      <c r="A73" s="9" t="s">
        <v>29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238880.59</v>
      </c>
      <c r="H73" s="10">
        <v>286118.3</v>
      </c>
      <c r="I73" s="10">
        <v>98358.74</v>
      </c>
      <c r="J73" s="10">
        <v>145596.44999999998</v>
      </c>
      <c r="K73" s="10">
        <f t="shared" si="8"/>
        <v>238880.59</v>
      </c>
      <c r="L73" s="15"/>
      <c r="M73" s="95">
        <f t="shared" si="11"/>
        <v>0</v>
      </c>
    </row>
    <row r="74" spans="1:13" x14ac:dyDescent="0.2">
      <c r="A74" s="9" t="s">
        <v>30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8"/>
        <v>0</v>
      </c>
      <c r="L74" s="15"/>
      <c r="M74" s="95">
        <f t="shared" si="11"/>
        <v>0</v>
      </c>
    </row>
    <row r="75" spans="1:13" x14ac:dyDescent="0.2">
      <c r="A75" s="9"/>
      <c r="B75" s="10">
        <v>0</v>
      </c>
      <c r="C75" s="10">
        <v>0</v>
      </c>
      <c r="D75" s="10"/>
      <c r="E75" s="10">
        <v>0</v>
      </c>
      <c r="F75" s="12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8"/>
        <v>0</v>
      </c>
      <c r="L75" s="15"/>
      <c r="M75" s="95">
        <f t="shared" si="11"/>
        <v>0</v>
      </c>
    </row>
    <row r="76" spans="1:13" x14ac:dyDescent="0.2">
      <c r="A76" s="24" t="s">
        <v>39</v>
      </c>
      <c r="B76" s="25">
        <f>SUM(B67:B75)</f>
        <v>0</v>
      </c>
      <c r="C76" s="25">
        <f t="shared" ref="C76:K76" si="15">SUM(C67:C75)</f>
        <v>0</v>
      </c>
      <c r="D76" s="25">
        <f t="shared" si="15"/>
        <v>0</v>
      </c>
      <c r="E76" s="25">
        <f t="shared" si="15"/>
        <v>0</v>
      </c>
      <c r="F76" s="25">
        <f t="shared" si="15"/>
        <v>0</v>
      </c>
      <c r="G76" s="25">
        <f t="shared" si="15"/>
        <v>586979.04</v>
      </c>
      <c r="H76" s="25">
        <f t="shared" si="15"/>
        <v>364781.07999999996</v>
      </c>
      <c r="I76" s="25">
        <f t="shared" si="15"/>
        <v>3420536.12</v>
      </c>
      <c r="J76" s="25">
        <f t="shared" si="15"/>
        <v>3198338.16</v>
      </c>
      <c r="K76" s="25">
        <f t="shared" si="15"/>
        <v>586979.03999999992</v>
      </c>
      <c r="L76" s="27"/>
      <c r="M76" s="95">
        <f t="shared" si="11"/>
        <v>0</v>
      </c>
    </row>
    <row r="77" spans="1:13" x14ac:dyDescent="0.2">
      <c r="A77" s="9" t="s">
        <v>18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1852.17</v>
      </c>
      <c r="H77" s="10">
        <v>21852.97</v>
      </c>
      <c r="I77" s="10">
        <v>0</v>
      </c>
      <c r="J77" s="10">
        <v>20000.8</v>
      </c>
      <c r="K77" s="10">
        <f t="shared" si="8"/>
        <v>1852.1700000000019</v>
      </c>
      <c r="L77" s="15"/>
      <c r="M77" s="95">
        <f t="shared" si="11"/>
        <v>1.8189894035458565E-12</v>
      </c>
    </row>
    <row r="78" spans="1:13" x14ac:dyDescent="0.2">
      <c r="A78" s="9" t="s">
        <v>24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43212.38</v>
      </c>
      <c r="H78" s="10">
        <v>43212.38</v>
      </c>
      <c r="I78" s="10">
        <v>0</v>
      </c>
      <c r="J78" s="10">
        <v>0</v>
      </c>
      <c r="K78" s="10">
        <f t="shared" si="8"/>
        <v>43212.38</v>
      </c>
      <c r="L78" s="15"/>
      <c r="M78" s="95">
        <f t="shared" si="11"/>
        <v>0</v>
      </c>
    </row>
    <row r="79" spans="1:13" x14ac:dyDescent="0.2">
      <c r="A79" s="9" t="s">
        <v>25</v>
      </c>
      <c r="B79" s="10">
        <v>0</v>
      </c>
      <c r="C79" s="10">
        <v>0</v>
      </c>
      <c r="D79" s="10"/>
      <c r="E79" s="10">
        <v>0</v>
      </c>
      <c r="F79" s="12">
        <v>0</v>
      </c>
      <c r="G79" s="10">
        <v>1625.34</v>
      </c>
      <c r="H79" s="10">
        <v>8443.23</v>
      </c>
      <c r="I79" s="10">
        <v>10845.58</v>
      </c>
      <c r="J79" s="10">
        <v>17663.47</v>
      </c>
      <c r="K79" s="10">
        <f t="shared" si="8"/>
        <v>1625.3399999999965</v>
      </c>
      <c r="L79" s="15"/>
      <c r="M79" s="95">
        <f t="shared" si="11"/>
        <v>-3.4106051316484809E-12</v>
      </c>
    </row>
    <row r="80" spans="1:13" x14ac:dyDescent="0.2">
      <c r="A80" s="9" t="s">
        <v>26</v>
      </c>
      <c r="B80" s="10">
        <v>0</v>
      </c>
      <c r="C80" s="10">
        <v>0</v>
      </c>
      <c r="D80" s="10"/>
      <c r="E80" s="10">
        <v>0</v>
      </c>
      <c r="F80" s="12">
        <v>0</v>
      </c>
      <c r="G80" s="10">
        <v>20682.669999999998</v>
      </c>
      <c r="H80" s="10">
        <v>0</v>
      </c>
      <c r="I80" s="10">
        <v>20682.669999999998</v>
      </c>
      <c r="J80" s="10">
        <v>0</v>
      </c>
      <c r="K80" s="10">
        <f t="shared" si="8"/>
        <v>20682.669999999998</v>
      </c>
      <c r="L80" s="15"/>
      <c r="M80" s="95">
        <f t="shared" si="11"/>
        <v>0</v>
      </c>
    </row>
    <row r="81" spans="1:13" x14ac:dyDescent="0.2">
      <c r="A81" s="9" t="s">
        <v>29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74081.95</v>
      </c>
      <c r="H81" s="10">
        <v>79147.360000000001</v>
      </c>
      <c r="I81" s="10">
        <v>0</v>
      </c>
      <c r="J81" s="10">
        <v>5065.41</v>
      </c>
      <c r="K81" s="10">
        <f t="shared" si="8"/>
        <v>74081.95</v>
      </c>
      <c r="L81" s="15"/>
      <c r="M81" s="95">
        <f t="shared" si="11"/>
        <v>0</v>
      </c>
    </row>
    <row r="82" spans="1:13" x14ac:dyDescent="0.2">
      <c r="A82" s="9" t="s">
        <v>30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8"/>
        <v>0</v>
      </c>
      <c r="L82" s="15"/>
      <c r="M82" s="95">
        <f t="shared" si="11"/>
        <v>0</v>
      </c>
    </row>
    <row r="83" spans="1:13" x14ac:dyDescent="0.2">
      <c r="A83" s="9"/>
      <c r="B83" s="10">
        <v>0</v>
      </c>
      <c r="C83" s="10">
        <v>0</v>
      </c>
      <c r="D83" s="10"/>
      <c r="E83" s="10">
        <v>0</v>
      </c>
      <c r="F83" s="12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8"/>
        <v>0</v>
      </c>
      <c r="L83" s="15"/>
      <c r="M83" s="95">
        <f t="shared" si="11"/>
        <v>0</v>
      </c>
    </row>
    <row r="84" spans="1:13" x14ac:dyDescent="0.2">
      <c r="A84" s="24" t="s">
        <v>40</v>
      </c>
      <c r="B84" s="25">
        <f>SUM(B77:B83)</f>
        <v>0</v>
      </c>
      <c r="C84" s="25">
        <f t="shared" ref="C84:K84" si="16">SUM(C77:C83)</f>
        <v>0</v>
      </c>
      <c r="D84" s="25">
        <f t="shared" si="16"/>
        <v>0</v>
      </c>
      <c r="E84" s="25">
        <f t="shared" si="16"/>
        <v>0</v>
      </c>
      <c r="F84" s="25">
        <f t="shared" si="16"/>
        <v>0</v>
      </c>
      <c r="G84" s="25">
        <f t="shared" si="16"/>
        <v>141454.51</v>
      </c>
      <c r="H84" s="25">
        <f t="shared" si="16"/>
        <v>152655.94</v>
      </c>
      <c r="I84" s="25">
        <f t="shared" si="16"/>
        <v>31528.25</v>
      </c>
      <c r="J84" s="25">
        <f t="shared" si="16"/>
        <v>42729.680000000008</v>
      </c>
      <c r="K84" s="25">
        <f t="shared" si="16"/>
        <v>141454.51</v>
      </c>
      <c r="L84" s="27"/>
      <c r="M84" s="95">
        <f t="shared" si="11"/>
        <v>0</v>
      </c>
    </row>
    <row r="85" spans="1:13" x14ac:dyDescent="0.2">
      <c r="A85" s="9" t="s">
        <v>36</v>
      </c>
      <c r="B85" s="10">
        <v>0</v>
      </c>
      <c r="C85" s="10">
        <v>0</v>
      </c>
      <c r="D85" s="10"/>
      <c r="E85" s="10">
        <v>0</v>
      </c>
      <c r="F85" s="12">
        <v>0</v>
      </c>
      <c r="G85" s="10">
        <v>12193</v>
      </c>
      <c r="H85" s="10">
        <v>13553.029999999999</v>
      </c>
      <c r="I85" s="10">
        <v>0</v>
      </c>
      <c r="J85" s="10">
        <v>1360.03</v>
      </c>
      <c r="K85" s="10">
        <f t="shared" si="8"/>
        <v>12192.999999999998</v>
      </c>
      <c r="L85" s="15"/>
      <c r="M85" s="95">
        <f t="shared" si="11"/>
        <v>0</v>
      </c>
    </row>
    <row r="86" spans="1:13" x14ac:dyDescent="0.2">
      <c r="A86" s="9" t="s">
        <v>29</v>
      </c>
      <c r="B86" s="10">
        <v>0</v>
      </c>
      <c r="C86" s="10">
        <v>0</v>
      </c>
      <c r="D86" s="10"/>
      <c r="E86" s="10">
        <v>0</v>
      </c>
      <c r="F86" s="12">
        <v>0</v>
      </c>
      <c r="G86" s="10">
        <v>7163.64</v>
      </c>
      <c r="H86" s="10">
        <v>6216.71</v>
      </c>
      <c r="I86" s="10">
        <v>4500</v>
      </c>
      <c r="J86" s="10">
        <v>3553.0699999999997</v>
      </c>
      <c r="K86" s="10">
        <f t="shared" si="8"/>
        <v>7163.6399999999994</v>
      </c>
      <c r="L86" s="15"/>
      <c r="M86" s="95">
        <f t="shared" si="11"/>
        <v>0</v>
      </c>
    </row>
    <row r="87" spans="1:13" x14ac:dyDescent="0.2">
      <c r="A87" s="9"/>
      <c r="B87" s="10">
        <v>0</v>
      </c>
      <c r="C87" s="10">
        <v>0</v>
      </c>
      <c r="D87" s="10"/>
      <c r="E87" s="10">
        <v>0</v>
      </c>
      <c r="F87" s="12">
        <v>0</v>
      </c>
      <c r="G87" s="10">
        <v>0</v>
      </c>
      <c r="H87" s="10">
        <v>0</v>
      </c>
      <c r="I87" s="10">
        <v>0</v>
      </c>
      <c r="J87" s="10">
        <v>0</v>
      </c>
      <c r="K87" s="10">
        <f>H87+I87-J87</f>
        <v>0</v>
      </c>
      <c r="L87" s="15"/>
      <c r="M87" s="95">
        <f t="shared" si="11"/>
        <v>0</v>
      </c>
    </row>
    <row r="88" spans="1:13" x14ac:dyDescent="0.2">
      <c r="A88" s="24" t="s">
        <v>41</v>
      </c>
      <c r="B88" s="25">
        <f>+B85+B86+B87</f>
        <v>0</v>
      </c>
      <c r="C88" s="25">
        <f t="shared" ref="C88:K88" si="17">+C85+C86+C87</f>
        <v>0</v>
      </c>
      <c r="D88" s="25">
        <f t="shared" si="17"/>
        <v>0</v>
      </c>
      <c r="E88" s="25">
        <f t="shared" si="17"/>
        <v>0</v>
      </c>
      <c r="F88" s="25">
        <f t="shared" si="17"/>
        <v>0</v>
      </c>
      <c r="G88" s="25">
        <f t="shared" si="17"/>
        <v>19356.64</v>
      </c>
      <c r="H88" s="25">
        <f t="shared" si="17"/>
        <v>19769.739999999998</v>
      </c>
      <c r="I88" s="25">
        <f t="shared" si="17"/>
        <v>4500</v>
      </c>
      <c r="J88" s="25">
        <f t="shared" si="17"/>
        <v>4913.0999999999995</v>
      </c>
      <c r="K88" s="25">
        <f t="shared" si="17"/>
        <v>19356.64</v>
      </c>
      <c r="L88" s="27"/>
      <c r="M88" s="95">
        <f t="shared" si="11"/>
        <v>0</v>
      </c>
    </row>
    <row r="89" spans="1:13" x14ac:dyDescent="0.2">
      <c r="A89" s="9" t="s">
        <v>36</v>
      </c>
      <c r="B89" s="10">
        <v>0</v>
      </c>
      <c r="C89" s="10">
        <v>0</v>
      </c>
      <c r="D89" s="10"/>
      <c r="E89" s="10">
        <v>0</v>
      </c>
      <c r="F89" s="12">
        <v>0</v>
      </c>
      <c r="G89" s="10">
        <v>4081.54</v>
      </c>
      <c r="H89" s="10">
        <v>4081.54</v>
      </c>
      <c r="I89" s="10">
        <v>0</v>
      </c>
      <c r="J89" s="10">
        <v>0</v>
      </c>
      <c r="K89" s="10">
        <f>H89+I89-J89</f>
        <v>4081.54</v>
      </c>
      <c r="L89" s="15"/>
      <c r="M89" s="95">
        <f t="shared" si="11"/>
        <v>0</v>
      </c>
    </row>
    <row r="90" spans="1:13" x14ac:dyDescent="0.2">
      <c r="A90" s="9" t="s">
        <v>29</v>
      </c>
      <c r="B90" s="10">
        <v>0</v>
      </c>
      <c r="C90" s="10">
        <v>0</v>
      </c>
      <c r="D90" s="10"/>
      <c r="E90" s="10">
        <v>0</v>
      </c>
      <c r="F90" s="12">
        <v>0</v>
      </c>
      <c r="G90" s="10">
        <v>28063.68</v>
      </c>
      <c r="H90" s="10">
        <v>2763.68</v>
      </c>
      <c r="I90" s="10">
        <v>25300</v>
      </c>
      <c r="J90" s="10">
        <v>0</v>
      </c>
      <c r="K90" s="10">
        <f>H90+I90-J90</f>
        <v>28063.68</v>
      </c>
      <c r="L90" s="15"/>
      <c r="M90" s="95">
        <f t="shared" si="11"/>
        <v>0</v>
      </c>
    </row>
    <row r="91" spans="1:13" x14ac:dyDescent="0.2">
      <c r="A91" s="9"/>
      <c r="B91" s="10">
        <v>0</v>
      </c>
      <c r="C91" s="10">
        <v>0</v>
      </c>
      <c r="D91" s="10"/>
      <c r="E91" s="10">
        <v>0</v>
      </c>
      <c r="F91" s="12">
        <v>0</v>
      </c>
      <c r="G91" s="10">
        <v>0</v>
      </c>
      <c r="H91" s="10">
        <v>0</v>
      </c>
      <c r="I91" s="10">
        <v>0</v>
      </c>
      <c r="J91" s="10">
        <v>0</v>
      </c>
      <c r="K91" s="10">
        <f>H91+I91-J91</f>
        <v>0</v>
      </c>
      <c r="L91" s="15"/>
      <c r="M91" s="95">
        <f t="shared" si="11"/>
        <v>0</v>
      </c>
    </row>
    <row r="92" spans="1:13" x14ac:dyDescent="0.2">
      <c r="A92" s="24" t="s">
        <v>42</v>
      </c>
      <c r="B92" s="25">
        <f>+B89+B90+B91</f>
        <v>0</v>
      </c>
      <c r="C92" s="25">
        <f t="shared" ref="C92:K92" si="18">+C89+C90+C91</f>
        <v>0</v>
      </c>
      <c r="D92" s="25">
        <f t="shared" si="18"/>
        <v>0</v>
      </c>
      <c r="E92" s="25">
        <f t="shared" si="18"/>
        <v>0</v>
      </c>
      <c r="F92" s="25">
        <f t="shared" si="18"/>
        <v>0</v>
      </c>
      <c r="G92" s="25">
        <f t="shared" si="18"/>
        <v>32145.22</v>
      </c>
      <c r="H92" s="25">
        <f t="shared" si="18"/>
        <v>6845.2199999999993</v>
      </c>
      <c r="I92" s="25">
        <f t="shared" si="18"/>
        <v>25300</v>
      </c>
      <c r="J92" s="25">
        <f t="shared" si="18"/>
        <v>0</v>
      </c>
      <c r="K92" s="25">
        <f t="shared" si="18"/>
        <v>32145.22</v>
      </c>
      <c r="L92" s="27"/>
      <c r="M92" s="95">
        <f t="shared" si="11"/>
        <v>0</v>
      </c>
    </row>
    <row r="93" spans="1:13" x14ac:dyDescent="0.2">
      <c r="A93" s="9"/>
      <c r="B93" s="10">
        <v>0</v>
      </c>
      <c r="C93" s="10">
        <v>0</v>
      </c>
      <c r="D93" s="10"/>
      <c r="E93" s="10">
        <v>0</v>
      </c>
      <c r="F93" s="12">
        <v>0</v>
      </c>
      <c r="G93" s="10">
        <v>0</v>
      </c>
      <c r="H93" s="10">
        <v>0</v>
      </c>
      <c r="I93" s="10">
        <v>0</v>
      </c>
      <c r="J93" s="10">
        <v>0</v>
      </c>
      <c r="K93" s="10">
        <f>H93+I93-J93</f>
        <v>0</v>
      </c>
      <c r="L93" s="15"/>
      <c r="M93" s="95">
        <f t="shared" si="11"/>
        <v>0</v>
      </c>
    </row>
    <row r="94" spans="1:13" ht="27" x14ac:dyDescent="0.2">
      <c r="A94" s="24" t="s">
        <v>43</v>
      </c>
      <c r="B94" s="25">
        <f t="shared" ref="B94:K94" si="19">+B92+B88+B84+B76+B66+B56+B43+B35</f>
        <v>68666749.510000005</v>
      </c>
      <c r="C94" s="25">
        <f t="shared" si="19"/>
        <v>10440352.039999999</v>
      </c>
      <c r="D94" s="25">
        <f t="shared" si="19"/>
        <v>2568.64</v>
      </c>
      <c r="E94" s="25">
        <f t="shared" si="19"/>
        <v>5235640.5999999996</v>
      </c>
      <c r="F94" s="25">
        <f t="shared" si="19"/>
        <v>0.50984660415481187</v>
      </c>
      <c r="G94" s="25">
        <f t="shared" si="19"/>
        <v>9769844.8999999985</v>
      </c>
      <c r="H94" s="25">
        <f t="shared" si="19"/>
        <v>10605765.949999999</v>
      </c>
      <c r="I94" s="25">
        <f t="shared" si="19"/>
        <v>6893832.0600000005</v>
      </c>
      <c r="J94" s="25">
        <f t="shared" si="19"/>
        <v>7730416.129999999</v>
      </c>
      <c r="K94" s="25">
        <f t="shared" si="19"/>
        <v>9769181.8800000008</v>
      </c>
      <c r="L94" s="27"/>
      <c r="M94" s="95">
        <f t="shared" si="11"/>
        <v>-663.01999999769032</v>
      </c>
    </row>
    <row r="95" spans="1:13" x14ac:dyDescent="0.2">
      <c r="A95" s="9"/>
      <c r="B95" s="10">
        <v>0</v>
      </c>
      <c r="C95" s="10">
        <v>0</v>
      </c>
      <c r="D95" s="10"/>
      <c r="E95" s="10">
        <v>0</v>
      </c>
      <c r="F95" s="12">
        <v>0</v>
      </c>
      <c r="G95" s="10">
        <v>0</v>
      </c>
      <c r="H95" s="10">
        <v>0</v>
      </c>
      <c r="I95" s="10">
        <v>0</v>
      </c>
      <c r="J95" s="10">
        <v>0</v>
      </c>
      <c r="K95" s="10">
        <f>H95+I95-J95</f>
        <v>0</v>
      </c>
      <c r="L95" s="15"/>
      <c r="M95" s="95">
        <f t="shared" si="11"/>
        <v>0</v>
      </c>
    </row>
    <row r="96" spans="1:13" x14ac:dyDescent="0.25">
      <c r="A96" s="24" t="s">
        <v>44</v>
      </c>
      <c r="B96" s="25">
        <f t="shared" ref="B96:K96" si="20">+B94+B21</f>
        <v>136405315.59</v>
      </c>
      <c r="C96" s="25">
        <f t="shared" si="20"/>
        <v>75804849.650000006</v>
      </c>
      <c r="D96" s="25">
        <f t="shared" si="20"/>
        <v>2568.64</v>
      </c>
      <c r="E96" s="25">
        <f t="shared" si="20"/>
        <v>48180446.480000004</v>
      </c>
      <c r="F96" s="25">
        <f t="shared" si="20"/>
        <v>4.3275898938086277</v>
      </c>
      <c r="G96" s="25">
        <f t="shared" si="20"/>
        <v>32189536.629999995</v>
      </c>
      <c r="H96" s="25">
        <f t="shared" si="20"/>
        <v>33633112.439999998</v>
      </c>
      <c r="I96" s="25">
        <f t="shared" si="20"/>
        <v>9106650.9299999997</v>
      </c>
      <c r="J96" s="25">
        <f t="shared" si="20"/>
        <v>10550889.759999998</v>
      </c>
      <c r="K96" s="25">
        <f t="shared" si="20"/>
        <v>32188873.609999999</v>
      </c>
      <c r="L96" s="27"/>
    </row>
    <row r="97" spans="1:12" x14ac:dyDescent="0.25">
      <c r="A97" s="28"/>
      <c r="B97" s="29"/>
      <c r="C97" s="29"/>
      <c r="D97" s="29"/>
      <c r="E97" s="28"/>
      <c r="F97" s="28"/>
      <c r="G97" s="28"/>
      <c r="H97" s="28"/>
      <c r="I97" s="28"/>
      <c r="J97" s="28"/>
      <c r="K97" s="28"/>
      <c r="L97" s="30"/>
    </row>
    <row r="98" spans="1:12" x14ac:dyDescent="0.25">
      <c r="A98" s="19"/>
      <c r="B98" s="19"/>
      <c r="C98" s="333" t="s">
        <v>45</v>
      </c>
      <c r="D98" s="333"/>
      <c r="E98" s="333"/>
      <c r="F98" s="333"/>
      <c r="G98" s="333"/>
      <c r="H98" s="333"/>
      <c r="I98" s="333"/>
      <c r="J98" s="19"/>
      <c r="K98" s="19"/>
      <c r="L98" s="19"/>
    </row>
    <row r="99" spans="1:12" x14ac:dyDescent="0.25">
      <c r="A99" s="19"/>
      <c r="B99" s="19"/>
      <c r="C99" s="112"/>
      <c r="D99" s="112"/>
      <c r="E99" s="112"/>
      <c r="F99" s="112"/>
      <c r="G99" s="112"/>
      <c r="H99" s="112"/>
      <c r="I99" s="112"/>
      <c r="J99" s="19"/>
      <c r="K99" s="19"/>
      <c r="L99" s="19"/>
    </row>
    <row r="100" spans="1:12" x14ac:dyDescent="0.25">
      <c r="A100" s="19"/>
      <c r="B100" s="325" t="s">
        <v>46</v>
      </c>
      <c r="C100" s="325"/>
      <c r="D100" s="326" t="s">
        <v>47</v>
      </c>
      <c r="E100" s="327"/>
      <c r="F100" s="328"/>
      <c r="G100" s="320" t="s">
        <v>48</v>
      </c>
      <c r="H100" s="320"/>
      <c r="I100" s="110" t="s">
        <v>10</v>
      </c>
      <c r="J100" s="19"/>
      <c r="K100" s="19"/>
      <c r="L100" s="19"/>
    </row>
    <row r="101" spans="1:12" x14ac:dyDescent="0.25">
      <c r="A101" s="19"/>
      <c r="B101" s="329" t="s">
        <v>49</v>
      </c>
      <c r="C101" s="329"/>
      <c r="D101" s="330">
        <v>8135543</v>
      </c>
      <c r="E101" s="331"/>
      <c r="F101" s="332">
        <v>0</v>
      </c>
      <c r="G101" s="330">
        <v>2004169</v>
      </c>
      <c r="H101" s="332"/>
      <c r="I101" s="33">
        <f>G101/D101</f>
        <v>0.2463472935979811</v>
      </c>
      <c r="J101" s="19"/>
      <c r="K101" s="19"/>
      <c r="L101" s="19"/>
    </row>
    <row r="102" spans="1:12" x14ac:dyDescent="0.25">
      <c r="A102" s="19"/>
      <c r="B102" s="320"/>
      <c r="C102" s="320"/>
      <c r="D102" s="321"/>
      <c r="E102" s="322"/>
      <c r="F102" s="323"/>
      <c r="G102" s="324"/>
      <c r="H102" s="324"/>
      <c r="I102" s="111"/>
      <c r="J102" s="19"/>
      <c r="K102" s="19"/>
      <c r="L102" s="19"/>
    </row>
    <row r="103" spans="1:12" x14ac:dyDescent="0.25">
      <c r="A103" s="19"/>
      <c r="B103" s="320"/>
      <c r="C103" s="320"/>
      <c r="D103" s="321"/>
      <c r="E103" s="322"/>
      <c r="F103" s="323"/>
      <c r="G103" s="324"/>
      <c r="H103" s="324"/>
      <c r="I103" s="111"/>
      <c r="J103" s="19"/>
      <c r="K103" s="19"/>
      <c r="L103" s="19"/>
    </row>
    <row r="104" spans="1:12" x14ac:dyDescent="0.25">
      <c r="A104" s="19"/>
      <c r="B104" s="320"/>
      <c r="C104" s="320"/>
      <c r="D104" s="321"/>
      <c r="E104" s="322"/>
      <c r="F104" s="323"/>
      <c r="G104" s="324"/>
      <c r="H104" s="324"/>
      <c r="I104" s="111"/>
      <c r="J104" s="19"/>
      <c r="K104" s="19"/>
      <c r="L104" s="19"/>
    </row>
    <row r="105" spans="1:12" x14ac:dyDescent="0.25">
      <c r="A105" s="35" t="s">
        <v>50</v>
      </c>
      <c r="B105" s="36"/>
      <c r="C105" s="36"/>
      <c r="D105" s="36"/>
      <c r="E105" s="36"/>
      <c r="F105" s="36"/>
      <c r="G105" s="37"/>
      <c r="H105" s="37"/>
      <c r="I105" s="38"/>
      <c r="J105" s="19"/>
      <c r="K105" s="19"/>
      <c r="L105" s="19"/>
    </row>
  </sheetData>
  <mergeCells count="31">
    <mergeCell ref="C98:I98"/>
    <mergeCell ref="A1:L1"/>
    <mergeCell ref="A3:L3"/>
    <mergeCell ref="C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100:C100"/>
    <mergeCell ref="D100:F100"/>
    <mergeCell ref="G100:H100"/>
    <mergeCell ref="B101:C101"/>
    <mergeCell ref="D101:F101"/>
    <mergeCell ref="G101:H101"/>
    <mergeCell ref="B104:C104"/>
    <mergeCell ref="D104:F104"/>
    <mergeCell ref="G104:H104"/>
    <mergeCell ref="B102:C102"/>
    <mergeCell ref="D102:F102"/>
    <mergeCell ref="G102:H102"/>
    <mergeCell ref="B103:C103"/>
    <mergeCell ref="D103:F103"/>
    <mergeCell ref="G103:H10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O105"/>
  <sheetViews>
    <sheetView topLeftCell="A4" zoomScale="120" zoomScaleNormal="120" workbookViewId="0">
      <selection activeCell="I19" sqref="I19"/>
    </sheetView>
  </sheetViews>
  <sheetFormatPr baseColWidth="10" defaultColWidth="16.5703125" defaultRowHeight="18" x14ac:dyDescent="0.25"/>
  <cols>
    <col min="1" max="1" width="16.5703125" style="1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16.5703125" style="94" customWidth="1"/>
    <col min="14" max="14" width="16.5703125" style="1" customWidth="1"/>
    <col min="15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4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x14ac:dyDescent="0.25">
      <c r="A4" s="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4" x14ac:dyDescent="0.25">
      <c r="A5" s="3" t="s">
        <v>2</v>
      </c>
      <c r="B5" s="5"/>
      <c r="C5" s="5"/>
      <c r="D5" s="5"/>
      <c r="E5" s="6"/>
      <c r="F5" s="6"/>
      <c r="G5" s="6"/>
    </row>
    <row r="6" spans="1:14" x14ac:dyDescent="0.25">
      <c r="C6" s="335" t="s">
        <v>3</v>
      </c>
      <c r="D6" s="335"/>
      <c r="E6" s="336"/>
      <c r="F6" s="336"/>
      <c r="G6" s="336"/>
      <c r="H6" s="335" t="s">
        <v>4</v>
      </c>
      <c r="I6" s="335"/>
      <c r="J6" s="335"/>
      <c r="K6" s="335"/>
    </row>
    <row r="7" spans="1:14" s="17" customFormat="1" ht="18" customHeight="1" x14ac:dyDescent="0.25">
      <c r="A7" s="337" t="s">
        <v>5</v>
      </c>
      <c r="B7" s="340" t="s">
        <v>6</v>
      </c>
      <c r="C7" s="340" t="s">
        <v>7</v>
      </c>
      <c r="D7" s="340" t="s">
        <v>8</v>
      </c>
      <c r="E7" s="340" t="s">
        <v>9</v>
      </c>
      <c r="F7" s="340" t="s">
        <v>10</v>
      </c>
      <c r="G7" s="337" t="s">
        <v>11</v>
      </c>
      <c r="H7" s="340" t="s">
        <v>12</v>
      </c>
      <c r="I7" s="340" t="s">
        <v>13</v>
      </c>
      <c r="J7" s="340" t="s">
        <v>14</v>
      </c>
      <c r="K7" s="340" t="s">
        <v>15</v>
      </c>
      <c r="L7" s="8" t="s">
        <v>16</v>
      </c>
      <c r="M7" s="106"/>
    </row>
    <row r="8" spans="1:14" x14ac:dyDescent="0.25">
      <c r="A8" s="338"/>
      <c r="B8" s="340"/>
      <c r="C8" s="340"/>
      <c r="D8" s="340"/>
      <c r="E8" s="340"/>
      <c r="F8" s="340"/>
      <c r="G8" s="338"/>
      <c r="H8" s="340"/>
      <c r="I8" s="340"/>
      <c r="J8" s="340"/>
      <c r="K8" s="340"/>
      <c r="L8" s="8" t="s">
        <v>17</v>
      </c>
    </row>
    <row r="9" spans="1:14" s="17" customFormat="1" x14ac:dyDescent="0.25">
      <c r="A9" s="9" t="s">
        <v>18</v>
      </c>
      <c r="B9" s="10">
        <v>10284399.08</v>
      </c>
      <c r="C9" s="10">
        <v>8200249.1100000003</v>
      </c>
      <c r="D9" s="11">
        <v>0</v>
      </c>
      <c r="E9" s="10">
        <v>5969611.3499999996</v>
      </c>
      <c r="F9" s="12">
        <f>+E9/C9</f>
        <v>0.72797926866882701</v>
      </c>
      <c r="G9" s="10">
        <f t="shared" ref="G9:G20" si="0">+C9+D9-E9</f>
        <v>2230637.7600000007</v>
      </c>
      <c r="H9" s="13">
        <f>240474.15+1758112.37</f>
        <v>1998586.52</v>
      </c>
      <c r="I9" s="14">
        <f>198006.2+59654.32+10000+17400</f>
        <v>285060.52</v>
      </c>
      <c r="J9" s="14">
        <f>19937+2773.46+2741.58+27557.24</f>
        <v>53009.279999999999</v>
      </c>
      <c r="K9" s="14">
        <f>H9+I9-J9</f>
        <v>2230637.7600000002</v>
      </c>
      <c r="L9" s="15">
        <f>+F9</f>
        <v>0.72797926866882701</v>
      </c>
      <c r="M9" s="71">
        <f>+K9-G9</f>
        <v>0</v>
      </c>
      <c r="N9" s="132"/>
    </row>
    <row r="10" spans="1:14" x14ac:dyDescent="0.2">
      <c r="A10" s="9" t="s">
        <v>20</v>
      </c>
      <c r="B10" s="10">
        <v>25013117</v>
      </c>
      <c r="C10" s="10">
        <v>15173221</v>
      </c>
      <c r="D10" s="11">
        <v>0</v>
      </c>
      <c r="E10" s="10">
        <v>17681260.780000001</v>
      </c>
      <c r="F10" s="12">
        <f t="shared" ref="F10:F15" si="1">+E10/C10</f>
        <v>1.1652938278563267</v>
      </c>
      <c r="G10" s="10">
        <f t="shared" si="0"/>
        <v>-2508039.7800000012</v>
      </c>
      <c r="H10" s="13">
        <f>70563.59-670078.66</f>
        <v>-599515.07000000007</v>
      </c>
      <c r="I10" s="14">
        <v>211886.37</v>
      </c>
      <c r="J10" s="14">
        <f>612253+11258.93+15736.77+1481162.38</f>
        <v>2120411.08</v>
      </c>
      <c r="K10" s="14">
        <f t="shared" ref="K10:K18" si="2">H10+I10-J10</f>
        <v>-2508039.7800000003</v>
      </c>
      <c r="L10" s="15">
        <f t="shared" ref="L10:L20" si="3">+F10</f>
        <v>1.1652938278563267</v>
      </c>
      <c r="M10" s="71">
        <f>+K10-G10</f>
        <v>0</v>
      </c>
      <c r="N10" s="133"/>
    </row>
    <row r="11" spans="1:14" x14ac:dyDescent="0.2">
      <c r="A11" s="9" t="s">
        <v>21</v>
      </c>
      <c r="B11" s="10">
        <v>185773</v>
      </c>
      <c r="C11" s="10">
        <v>139329</v>
      </c>
      <c r="D11" s="11">
        <v>0</v>
      </c>
      <c r="E11" s="11">
        <v>93525</v>
      </c>
      <c r="F11" s="12">
        <f t="shared" si="1"/>
        <v>0.67125293370367978</v>
      </c>
      <c r="G11" s="10">
        <f t="shared" si="0"/>
        <v>45804</v>
      </c>
      <c r="H11" s="13">
        <v>45804</v>
      </c>
      <c r="I11" s="14">
        <v>0</v>
      </c>
      <c r="J11" s="14">
        <v>0</v>
      </c>
      <c r="K11" s="14">
        <f t="shared" si="2"/>
        <v>45804</v>
      </c>
      <c r="L11" s="15">
        <f t="shared" si="3"/>
        <v>0.67125293370367978</v>
      </c>
      <c r="M11" s="71">
        <f>+K11-G11</f>
        <v>0</v>
      </c>
      <c r="N11" s="134"/>
    </row>
    <row r="12" spans="1:14" x14ac:dyDescent="0.2">
      <c r="A12" s="9" t="s">
        <v>22</v>
      </c>
      <c r="B12" s="10">
        <v>388669</v>
      </c>
      <c r="C12" s="10">
        <v>194334</v>
      </c>
      <c r="D12" s="11">
        <v>0</v>
      </c>
      <c r="E12" s="11">
        <v>188191.15</v>
      </c>
      <c r="F12" s="12">
        <f t="shared" si="1"/>
        <v>0.96839024565953458</v>
      </c>
      <c r="G12" s="10">
        <f t="shared" si="0"/>
        <v>6142.8500000000058</v>
      </c>
      <c r="H12" s="13">
        <v>6142.85</v>
      </c>
      <c r="I12" s="14">
        <v>0</v>
      </c>
      <c r="J12" s="14">
        <v>0</v>
      </c>
      <c r="K12" s="14">
        <f t="shared" si="2"/>
        <v>6142.85</v>
      </c>
      <c r="L12" s="15">
        <f t="shared" si="3"/>
        <v>0.96839024565953458</v>
      </c>
      <c r="M12" s="71">
        <f>+K12-G12</f>
        <v>0</v>
      </c>
      <c r="N12" s="134"/>
    </row>
    <row r="13" spans="1:14" x14ac:dyDescent="0.2">
      <c r="A13" s="9" t="s">
        <v>23</v>
      </c>
      <c r="B13" s="10">
        <v>1307315</v>
      </c>
      <c r="C13" s="10">
        <v>968685.12</v>
      </c>
      <c r="D13" s="11">
        <v>0</v>
      </c>
      <c r="E13" s="11">
        <v>752268.11</v>
      </c>
      <c r="F13" s="12">
        <f t="shared" si="1"/>
        <v>0.77658683350065294</v>
      </c>
      <c r="G13" s="10">
        <f t="shared" si="0"/>
        <v>216417.01</v>
      </c>
      <c r="H13" s="13">
        <v>216417.01</v>
      </c>
      <c r="I13" s="14">
        <v>0</v>
      </c>
      <c r="J13" s="14">
        <v>0</v>
      </c>
      <c r="K13" s="14">
        <f t="shared" si="2"/>
        <v>216417.01</v>
      </c>
      <c r="L13" s="15">
        <f t="shared" si="3"/>
        <v>0.77658683350065294</v>
      </c>
      <c r="M13" s="71">
        <f t="shared" ref="M13:M19" si="4">+K13-G13</f>
        <v>0</v>
      </c>
      <c r="N13" s="134"/>
    </row>
    <row r="14" spans="1:14" x14ac:dyDescent="0.2">
      <c r="A14" s="9" t="s">
        <v>24</v>
      </c>
      <c r="B14" s="10">
        <v>14002815</v>
      </c>
      <c r="C14" s="10">
        <v>10502109</v>
      </c>
      <c r="D14" s="11">
        <v>0</v>
      </c>
      <c r="E14" s="10">
        <v>10622928.26</v>
      </c>
      <c r="F14" s="12">
        <f t="shared" si="1"/>
        <v>1.0115042854725655</v>
      </c>
      <c r="G14" s="10">
        <f t="shared" si="0"/>
        <v>-120819.25999999978</v>
      </c>
      <c r="H14" s="13">
        <v>384207.74</v>
      </c>
      <c r="I14" s="14">
        <f>10553+20000</f>
        <v>30553</v>
      </c>
      <c r="J14" s="14">
        <f>211601+323979</f>
        <v>535580</v>
      </c>
      <c r="K14" s="14">
        <f t="shared" si="2"/>
        <v>-120819.26000000001</v>
      </c>
      <c r="L14" s="15">
        <f t="shared" si="3"/>
        <v>1.0115042854725655</v>
      </c>
      <c r="M14" s="71">
        <f t="shared" si="4"/>
        <v>-2.3283064365386963E-10</v>
      </c>
      <c r="N14" s="135"/>
    </row>
    <row r="15" spans="1:14" x14ac:dyDescent="0.2">
      <c r="A15" s="9" t="s">
        <v>25</v>
      </c>
      <c r="B15" s="10">
        <v>613768</v>
      </c>
      <c r="C15" s="10">
        <v>306882</v>
      </c>
      <c r="D15" s="11">
        <v>0</v>
      </c>
      <c r="E15" s="10">
        <v>9717.48</v>
      </c>
      <c r="F15" s="12">
        <f t="shared" si="1"/>
        <v>3.1665200305003222E-2</v>
      </c>
      <c r="G15" s="10">
        <f t="shared" si="0"/>
        <v>297164.52</v>
      </c>
      <c r="H15" s="13">
        <v>297164.52</v>
      </c>
      <c r="I15" s="14">
        <v>0</v>
      </c>
      <c r="J15" s="14">
        <v>0</v>
      </c>
      <c r="K15" s="14">
        <f t="shared" si="2"/>
        <v>297164.52</v>
      </c>
      <c r="L15" s="15">
        <f t="shared" si="3"/>
        <v>3.1665200305003222E-2</v>
      </c>
      <c r="M15" s="71">
        <f t="shared" si="4"/>
        <v>0</v>
      </c>
      <c r="N15" s="134"/>
    </row>
    <row r="16" spans="1:14" x14ac:dyDescent="0.2">
      <c r="A16" s="9" t="s">
        <v>53</v>
      </c>
      <c r="B16" s="10"/>
      <c r="C16" s="11">
        <v>0</v>
      </c>
      <c r="D16" s="11">
        <v>0</v>
      </c>
      <c r="E16" s="11">
        <v>0</v>
      </c>
      <c r="F16" s="12">
        <v>0</v>
      </c>
      <c r="G16" s="14">
        <f t="shared" si="0"/>
        <v>0</v>
      </c>
      <c r="H16" s="11">
        <v>0</v>
      </c>
      <c r="I16" s="14">
        <v>0</v>
      </c>
      <c r="J16" s="14">
        <v>0</v>
      </c>
      <c r="K16" s="14">
        <f t="shared" si="2"/>
        <v>0</v>
      </c>
      <c r="L16" s="15">
        <f t="shared" si="3"/>
        <v>0</v>
      </c>
      <c r="M16" s="71">
        <f t="shared" si="4"/>
        <v>0</v>
      </c>
      <c r="N16" s="134"/>
    </row>
    <row r="17" spans="1:15" x14ac:dyDescent="0.2">
      <c r="A17" s="9" t="s">
        <v>27</v>
      </c>
      <c r="B17" s="10"/>
      <c r="C17" s="11">
        <v>0</v>
      </c>
      <c r="D17" s="11">
        <v>0</v>
      </c>
      <c r="E17" s="11">
        <v>0</v>
      </c>
      <c r="F17" s="12">
        <v>0</v>
      </c>
      <c r="G17" s="14">
        <f t="shared" si="0"/>
        <v>0</v>
      </c>
      <c r="H17" s="11">
        <v>0</v>
      </c>
      <c r="I17" s="14">
        <v>0</v>
      </c>
      <c r="J17" s="14">
        <v>0</v>
      </c>
      <c r="K17" s="14">
        <f t="shared" si="2"/>
        <v>0</v>
      </c>
      <c r="L17" s="15">
        <f t="shared" si="3"/>
        <v>0</v>
      </c>
      <c r="M17" s="71">
        <f t="shared" si="4"/>
        <v>0</v>
      </c>
      <c r="N17" s="136"/>
    </row>
    <row r="18" spans="1:15" x14ac:dyDescent="0.2">
      <c r="A18" s="9" t="s">
        <v>28</v>
      </c>
      <c r="B18" s="10">
        <v>47686</v>
      </c>
      <c r="C18" s="11">
        <v>35809.18</v>
      </c>
      <c r="D18" s="11">
        <v>0</v>
      </c>
      <c r="E18" s="11">
        <v>0</v>
      </c>
      <c r="F18" s="12">
        <v>0</v>
      </c>
      <c r="G18" s="14">
        <f t="shared" si="0"/>
        <v>35809.18</v>
      </c>
      <c r="H18" s="11">
        <v>36809.18</v>
      </c>
      <c r="I18" s="14">
        <v>0</v>
      </c>
      <c r="J18" s="14">
        <v>1000</v>
      </c>
      <c r="K18" s="14">
        <f t="shared" si="2"/>
        <v>35809.18</v>
      </c>
      <c r="L18" s="15">
        <f t="shared" si="3"/>
        <v>0</v>
      </c>
      <c r="M18" s="71">
        <f t="shared" si="4"/>
        <v>0</v>
      </c>
      <c r="N18" s="133"/>
    </row>
    <row r="19" spans="1:15" x14ac:dyDescent="0.2">
      <c r="A19" s="9" t="s">
        <v>29</v>
      </c>
      <c r="B19" s="10">
        <v>27972730</v>
      </c>
      <c r="C19" s="10">
        <v>22378184</v>
      </c>
      <c r="D19" s="11">
        <v>186451.15</v>
      </c>
      <c r="E19" s="11">
        <v>400000</v>
      </c>
      <c r="F19" s="12">
        <f>+E19/C19</f>
        <v>1.7874551393446403E-2</v>
      </c>
      <c r="G19" s="10">
        <f t="shared" si="0"/>
        <v>22164635.149999999</v>
      </c>
      <c r="H19" s="13">
        <f>2802273+19308051.81</f>
        <v>22110324.809999999</v>
      </c>
      <c r="I19" s="14">
        <v>60000</v>
      </c>
      <c r="J19" s="14">
        <f>3448.28+1724.14+517.24</f>
        <v>5689.66</v>
      </c>
      <c r="K19" s="14">
        <f>H19+I19-J19</f>
        <v>22164635.149999999</v>
      </c>
      <c r="L19" s="15">
        <f t="shared" si="3"/>
        <v>1.7874551393446403E-2</v>
      </c>
      <c r="M19" s="71">
        <f t="shared" si="4"/>
        <v>0</v>
      </c>
      <c r="N19" s="133"/>
      <c r="O19" s="18"/>
    </row>
    <row r="20" spans="1:15" x14ac:dyDescent="0.2">
      <c r="A20" s="9" t="s">
        <v>30</v>
      </c>
      <c r="B20" s="10">
        <v>21170980</v>
      </c>
      <c r="C20" s="10">
        <v>15878232</v>
      </c>
      <c r="D20" s="11">
        <v>0</v>
      </c>
      <c r="E20" s="10">
        <v>13457446.460000001</v>
      </c>
      <c r="F20" s="12">
        <f>+E20/C20</f>
        <v>0.84754061157438698</v>
      </c>
      <c r="G20" s="10">
        <f t="shared" si="0"/>
        <v>2420785.5399999991</v>
      </c>
      <c r="H20" s="13">
        <v>1018247.95</v>
      </c>
      <c r="I20" s="14">
        <f>1475746.88+26843.71</f>
        <v>1502590.5899999999</v>
      </c>
      <c r="J20" s="14">
        <f>66358+4000+29695</f>
        <v>100053</v>
      </c>
      <c r="K20" s="14">
        <f>H20+I20-J20</f>
        <v>2420785.54</v>
      </c>
      <c r="L20" s="15">
        <f t="shared" si="3"/>
        <v>0.84754061157438698</v>
      </c>
      <c r="M20" s="85">
        <f>+K20-G20</f>
        <v>0</v>
      </c>
      <c r="N20" s="137"/>
      <c r="O20" s="18"/>
    </row>
    <row r="21" spans="1:15" s="5" customFormat="1" x14ac:dyDescent="0.2">
      <c r="A21" s="20" t="s">
        <v>51</v>
      </c>
      <c r="B21" s="21">
        <f>SUM(B9:B20)</f>
        <v>100987252.08</v>
      </c>
      <c r="C21" s="21">
        <f>SUM(C9:C20)</f>
        <v>73777034.409999996</v>
      </c>
      <c r="D21" s="21">
        <f>SUM(D9:D20)</f>
        <v>186451.15</v>
      </c>
      <c r="E21" s="21">
        <f>SUM(E9:E20)</f>
        <v>49174948.589999996</v>
      </c>
      <c r="F21" s="21">
        <f t="shared" ref="F21:K21" si="5">SUM(F9:F20)</f>
        <v>6.2180877581344234</v>
      </c>
      <c r="G21" s="21">
        <f t="shared" si="5"/>
        <v>24788536.969999999</v>
      </c>
      <c r="H21" s="21">
        <f t="shared" si="5"/>
        <v>25514189.509999998</v>
      </c>
      <c r="I21" s="21">
        <f t="shared" si="5"/>
        <v>2090090.48</v>
      </c>
      <c r="J21" s="21">
        <f t="shared" si="5"/>
        <v>2815743.02</v>
      </c>
      <c r="K21" s="21">
        <f t="shared" si="5"/>
        <v>24788536.969999999</v>
      </c>
      <c r="L21" s="23"/>
      <c r="M21" s="62">
        <f>+K21-G21</f>
        <v>0</v>
      </c>
    </row>
    <row r="22" spans="1:15" s="17" customFormat="1" x14ac:dyDescent="0.25">
      <c r="A22" s="96" t="s">
        <v>18</v>
      </c>
      <c r="B22" s="97">
        <v>9497181.3399999999</v>
      </c>
      <c r="C22" s="97">
        <f>9497181.34-8522902.7</f>
        <v>974278.6400000006</v>
      </c>
      <c r="D22" s="104">
        <v>0</v>
      </c>
      <c r="E22" s="97">
        <v>255200</v>
      </c>
      <c r="F22" s="98">
        <f>+E22/C22</f>
        <v>0.26193738579755771</v>
      </c>
      <c r="G22" s="97">
        <f>+C22+D22-E22</f>
        <v>719078.6400000006</v>
      </c>
      <c r="H22" s="99">
        <f>526784.35-0.47</f>
        <v>526783.88</v>
      </c>
      <c r="I22" s="100">
        <f>22013.2+172259.48</f>
        <v>194272.68000000002</v>
      </c>
      <c r="J22" s="100">
        <f>-4302.52+6280.44</f>
        <v>1977.9199999999992</v>
      </c>
      <c r="K22" s="100">
        <f>H22+I22-J22</f>
        <v>719078.64</v>
      </c>
      <c r="L22" s="101">
        <f>+F22</f>
        <v>0.26193738579755771</v>
      </c>
      <c r="M22" s="103">
        <f t="shared" ref="M22:M31" si="6">+K22-G22</f>
        <v>0</v>
      </c>
      <c r="N22" s="129"/>
    </row>
    <row r="23" spans="1:15" x14ac:dyDescent="0.2">
      <c r="A23" s="9" t="s">
        <v>20</v>
      </c>
      <c r="B23" s="10">
        <v>28461059.77</v>
      </c>
      <c r="C23" s="10">
        <f>+B23-27479996.23</f>
        <v>981063.53999999911</v>
      </c>
      <c r="D23" s="11">
        <v>0</v>
      </c>
      <c r="E23" s="10">
        <v>4102.54</v>
      </c>
      <c r="F23" s="12">
        <f t="shared" ref="F23:F33" si="7">+E23/C23</f>
        <v>4.1817271081137147E-3</v>
      </c>
      <c r="G23" s="10">
        <f>+C23+D23-E23</f>
        <v>976960.99999999907</v>
      </c>
      <c r="H23" s="13">
        <f>170500+1500697.24</f>
        <v>1671197.24</v>
      </c>
      <c r="I23" s="14">
        <v>295805.32</v>
      </c>
      <c r="J23" s="14">
        <f>272555.03+160187.53+557299</f>
        <v>990041.56</v>
      </c>
      <c r="K23" s="14">
        <f t="shared" ref="K23:K86" si="8">H23+I23-J23</f>
        <v>976961</v>
      </c>
      <c r="L23" s="15">
        <f t="shared" ref="L23:L34" si="9">+F23</f>
        <v>4.1817271081137147E-3</v>
      </c>
      <c r="M23" s="71">
        <f t="shared" si="6"/>
        <v>9.3132257461547852E-10</v>
      </c>
      <c r="N23" s="130"/>
    </row>
    <row r="24" spans="1:15" x14ac:dyDescent="0.2">
      <c r="A24" s="96" t="s">
        <v>21</v>
      </c>
      <c r="B24" s="97">
        <v>266576.99</v>
      </c>
      <c r="C24" s="97">
        <f>266576.99-80893</f>
        <v>185683.99</v>
      </c>
      <c r="D24" s="104">
        <v>553.15</v>
      </c>
      <c r="E24" s="97">
        <v>12161.55</v>
      </c>
      <c r="F24" s="98">
        <f t="shared" si="7"/>
        <v>6.5495953636067389E-2</v>
      </c>
      <c r="G24" s="97">
        <f>+C24+D24-E24</f>
        <v>174075.59</v>
      </c>
      <c r="H24" s="99">
        <v>174075.59</v>
      </c>
      <c r="I24" s="100">
        <v>0</v>
      </c>
      <c r="J24" s="100">
        <v>0</v>
      </c>
      <c r="K24" s="100">
        <f t="shared" si="8"/>
        <v>174075.59</v>
      </c>
      <c r="L24" s="101">
        <f t="shared" si="9"/>
        <v>6.5495953636067389E-2</v>
      </c>
      <c r="M24" s="102">
        <f t="shared" si="6"/>
        <v>0</v>
      </c>
      <c r="N24" s="82"/>
    </row>
    <row r="25" spans="1:15" x14ac:dyDescent="0.2">
      <c r="A25" s="9" t="s">
        <v>22</v>
      </c>
      <c r="B25" s="10">
        <v>757786.85</v>
      </c>
      <c r="C25" s="10">
        <f>375412.66-201977</f>
        <v>173435.65999999997</v>
      </c>
      <c r="D25" s="10">
        <v>553.37</v>
      </c>
      <c r="E25" s="10">
        <v>0</v>
      </c>
      <c r="F25" s="12">
        <f t="shared" si="7"/>
        <v>0</v>
      </c>
      <c r="G25" s="10">
        <f t="shared" ref="G25:G31" si="10">+C25+D25-E25</f>
        <v>173989.02999999997</v>
      </c>
      <c r="H25" s="13">
        <v>174138.54</v>
      </c>
      <c r="I25" s="14">
        <v>0</v>
      </c>
      <c r="J25" s="14">
        <v>0</v>
      </c>
      <c r="K25" s="14">
        <f t="shared" si="8"/>
        <v>174138.54</v>
      </c>
      <c r="L25" s="15">
        <f t="shared" si="9"/>
        <v>0</v>
      </c>
      <c r="M25" s="95">
        <f t="shared" si="6"/>
        <v>149.51000000003842</v>
      </c>
      <c r="N25" s="131"/>
    </row>
    <row r="26" spans="1:15" x14ac:dyDescent="0.2">
      <c r="A26" s="96" t="s">
        <v>23</v>
      </c>
      <c r="B26" s="97">
        <v>919872.2</v>
      </c>
      <c r="C26" s="97">
        <f>1302246.39-788192.61</f>
        <v>514053.77999999991</v>
      </c>
      <c r="D26" s="97">
        <v>408.58</v>
      </c>
      <c r="E26" s="97">
        <v>455516.24</v>
      </c>
      <c r="F26" s="98">
        <f t="shared" si="7"/>
        <v>0.88612565012166644</v>
      </c>
      <c r="G26" s="97">
        <f t="shared" si="10"/>
        <v>58946.119999999937</v>
      </c>
      <c r="H26" s="99">
        <v>58946.12</v>
      </c>
      <c r="I26" s="100">
        <v>0</v>
      </c>
      <c r="J26" s="100">
        <v>0</v>
      </c>
      <c r="K26" s="100">
        <f t="shared" si="8"/>
        <v>58946.12</v>
      </c>
      <c r="L26" s="101">
        <f t="shared" si="9"/>
        <v>0.88612565012166644</v>
      </c>
      <c r="M26" s="102">
        <f t="shared" si="6"/>
        <v>6.5483618527650833E-11</v>
      </c>
      <c r="N26" s="82"/>
    </row>
    <row r="27" spans="1:15" x14ac:dyDescent="0.2">
      <c r="A27" s="9" t="s">
        <v>24</v>
      </c>
      <c r="B27" s="10">
        <v>0</v>
      </c>
      <c r="C27" s="10">
        <f>13636634.35-13212786.17-9513.63</f>
        <v>414334.5499999997</v>
      </c>
      <c r="D27" s="11">
        <v>0</v>
      </c>
      <c r="E27" s="10">
        <v>0</v>
      </c>
      <c r="F27" s="12">
        <f t="shared" si="7"/>
        <v>0</v>
      </c>
      <c r="G27" s="10">
        <f>+C27+D27-E27</f>
        <v>414334.5499999997</v>
      </c>
      <c r="H27" s="13">
        <v>38498.339999999997</v>
      </c>
      <c r="I27" s="14">
        <v>457357</v>
      </c>
      <c r="J27" s="14">
        <f>52394.42+7312.79+22272.58</f>
        <v>81979.790000000008</v>
      </c>
      <c r="K27" s="14">
        <f t="shared" si="8"/>
        <v>413875.54999999993</v>
      </c>
      <c r="L27" s="15">
        <f t="shared" si="9"/>
        <v>0</v>
      </c>
      <c r="M27" s="95">
        <f t="shared" si="6"/>
        <v>-458.99999999976717</v>
      </c>
    </row>
    <row r="28" spans="1:15" x14ac:dyDescent="0.2">
      <c r="A28" s="96" t="s">
        <v>25</v>
      </c>
      <c r="B28" s="97">
        <v>868753.03</v>
      </c>
      <c r="C28" s="97">
        <f>868753.03-542712.97</f>
        <v>326040.06000000006</v>
      </c>
      <c r="D28" s="97">
        <v>0</v>
      </c>
      <c r="E28" s="97">
        <v>248941.67</v>
      </c>
      <c r="F28" s="98">
        <f t="shared" si="7"/>
        <v>0.76353092929746114</v>
      </c>
      <c r="G28" s="97">
        <f t="shared" si="10"/>
        <v>77098.390000000043</v>
      </c>
      <c r="H28" s="99">
        <v>77229.7</v>
      </c>
      <c r="I28" s="100">
        <v>0</v>
      </c>
      <c r="J28" s="100">
        <v>0</v>
      </c>
      <c r="K28" s="100">
        <f t="shared" si="8"/>
        <v>77229.7</v>
      </c>
      <c r="L28" s="101">
        <f t="shared" si="9"/>
        <v>0.76353092929746114</v>
      </c>
      <c r="M28" s="102">
        <f t="shared" si="6"/>
        <v>131.30999999995402</v>
      </c>
    </row>
    <row r="29" spans="1:15" x14ac:dyDescent="0.2">
      <c r="A29" s="9" t="s">
        <v>27</v>
      </c>
      <c r="B29" s="10">
        <v>573447.68000000005</v>
      </c>
      <c r="C29" s="10">
        <f>573447.69-569680.32</f>
        <v>3767.3699999999953</v>
      </c>
      <c r="D29" s="11">
        <v>0</v>
      </c>
      <c r="E29" s="10">
        <v>0</v>
      </c>
      <c r="F29" s="12">
        <f t="shared" si="7"/>
        <v>0</v>
      </c>
      <c r="G29" s="10">
        <f t="shared" si="10"/>
        <v>3767.3699999999953</v>
      </c>
      <c r="H29" s="13">
        <v>3767.37</v>
      </c>
      <c r="I29" s="14">
        <v>0</v>
      </c>
      <c r="J29" s="14">
        <v>0</v>
      </c>
      <c r="K29" s="14">
        <f t="shared" si="8"/>
        <v>3767.37</v>
      </c>
      <c r="L29" s="15">
        <f t="shared" si="9"/>
        <v>0</v>
      </c>
      <c r="M29" s="95">
        <f t="shared" si="6"/>
        <v>4.5474735088646412E-12</v>
      </c>
      <c r="N29" s="82"/>
    </row>
    <row r="30" spans="1:15" x14ac:dyDescent="0.2">
      <c r="A30" s="96" t="s">
        <v>28</v>
      </c>
      <c r="B30" s="97">
        <v>36484.65</v>
      </c>
      <c r="C30" s="97">
        <f>36484.65+12161.55</f>
        <v>48646.2</v>
      </c>
      <c r="D30" s="104">
        <v>0</v>
      </c>
      <c r="E30" s="97">
        <v>0</v>
      </c>
      <c r="F30" s="98">
        <f t="shared" si="7"/>
        <v>0</v>
      </c>
      <c r="G30" s="97">
        <f t="shared" si="10"/>
        <v>48646.2</v>
      </c>
      <c r="H30" s="99">
        <v>48646.2</v>
      </c>
      <c r="I30" s="100">
        <v>0</v>
      </c>
      <c r="J30" s="100">
        <v>0</v>
      </c>
      <c r="K30" s="100">
        <f t="shared" si="8"/>
        <v>48646.2</v>
      </c>
      <c r="L30" s="101">
        <f t="shared" si="9"/>
        <v>0</v>
      </c>
      <c r="M30" s="102">
        <f t="shared" si="6"/>
        <v>0</v>
      </c>
      <c r="N30" s="82"/>
    </row>
    <row r="31" spans="1:15" x14ac:dyDescent="0.2">
      <c r="A31" s="9" t="s">
        <v>29</v>
      </c>
      <c r="B31" s="10">
        <v>25802087</v>
      </c>
      <c r="C31" s="10">
        <f>25802087+2061.7-21535015.98</f>
        <v>4269132.7199999988</v>
      </c>
      <c r="D31" s="45"/>
      <c r="E31" s="10">
        <v>2579664.27</v>
      </c>
      <c r="F31" s="12">
        <f t="shared" si="7"/>
        <v>0.60425956258394342</v>
      </c>
      <c r="G31" s="10">
        <f t="shared" si="10"/>
        <v>1689468.4499999988</v>
      </c>
      <c r="H31" s="13">
        <f>2969046.34-1185122.76</f>
        <v>1783923.5799999998</v>
      </c>
      <c r="I31" s="14">
        <v>122706</v>
      </c>
      <c r="J31" s="14">
        <f>20016.25+101558.56+73295.32+22291.07</f>
        <v>217161.2</v>
      </c>
      <c r="K31" s="14">
        <f>H31+I31-J31</f>
        <v>1689468.38</v>
      </c>
      <c r="L31" s="15">
        <f t="shared" si="9"/>
        <v>0.60425956258394342</v>
      </c>
      <c r="M31" s="95">
        <f t="shared" si="6"/>
        <v>-6.9999998901039362E-2</v>
      </c>
      <c r="N31" s="18"/>
      <c r="O31" s="18"/>
    </row>
    <row r="32" spans="1:15" x14ac:dyDescent="0.2">
      <c r="A32" s="96" t="s">
        <v>30</v>
      </c>
      <c r="B32" s="97">
        <v>0</v>
      </c>
      <c r="C32" s="97">
        <f>19272341-17976826.68-1101765.3</f>
        <v>193749.02000000025</v>
      </c>
      <c r="D32" s="97">
        <v>0</v>
      </c>
      <c r="E32" s="97">
        <v>0</v>
      </c>
      <c r="F32" s="98">
        <f t="shared" si="7"/>
        <v>0</v>
      </c>
      <c r="G32" s="97">
        <f>+C32+D32-E32</f>
        <v>193749.02000000025</v>
      </c>
      <c r="H32" s="99">
        <v>167473.73000000001</v>
      </c>
      <c r="I32" s="100">
        <v>296402</v>
      </c>
      <c r="J32" s="100">
        <f>26299+244312.48</f>
        <v>270611.48</v>
      </c>
      <c r="K32" s="100">
        <f>H32+I32-J32</f>
        <v>193264.25</v>
      </c>
      <c r="L32" s="101">
        <f t="shared" si="9"/>
        <v>0</v>
      </c>
      <c r="M32" s="102">
        <f>+K32-G32</f>
        <v>-484.77000000025146</v>
      </c>
      <c r="N32" s="19"/>
      <c r="O32" s="18"/>
    </row>
    <row r="33" spans="1:14" x14ac:dyDescent="0.2">
      <c r="A33" s="9" t="s">
        <v>31</v>
      </c>
      <c r="B33" s="10">
        <v>0</v>
      </c>
      <c r="C33" s="10">
        <v>700000</v>
      </c>
      <c r="D33" s="11">
        <v>0</v>
      </c>
      <c r="E33" s="10">
        <v>700000</v>
      </c>
      <c r="F33" s="12">
        <f t="shared" si="7"/>
        <v>1</v>
      </c>
      <c r="G33" s="11">
        <v>0</v>
      </c>
      <c r="H33" s="13">
        <v>9956.9</v>
      </c>
      <c r="I33" s="14">
        <v>0</v>
      </c>
      <c r="J33" s="14">
        <f>6034.48+3017.24+905.18</f>
        <v>9956.9</v>
      </c>
      <c r="K33" s="14">
        <f t="shared" si="8"/>
        <v>0</v>
      </c>
      <c r="L33" s="15">
        <f t="shared" si="9"/>
        <v>1</v>
      </c>
      <c r="M33" s="95">
        <f t="shared" ref="M33:M95" si="11">+K33-G33</f>
        <v>0</v>
      </c>
      <c r="N33" s="82"/>
    </row>
    <row r="34" spans="1:14" x14ac:dyDescent="0.2">
      <c r="A34" s="96" t="s">
        <v>32</v>
      </c>
      <c r="B34" s="97">
        <v>1483500</v>
      </c>
      <c r="C34" s="97">
        <v>1483500</v>
      </c>
      <c r="D34" s="104">
        <v>0</v>
      </c>
      <c r="E34" s="97">
        <v>1483500</v>
      </c>
      <c r="F34" s="98">
        <f>+E34/C34</f>
        <v>1</v>
      </c>
      <c r="G34" s="104">
        <v>0</v>
      </c>
      <c r="H34" s="99">
        <v>21101.51</v>
      </c>
      <c r="I34" s="100">
        <v>0</v>
      </c>
      <c r="J34" s="100">
        <f>12788.79+6394.4+1918.32</f>
        <v>21101.510000000002</v>
      </c>
      <c r="K34" s="100">
        <f t="shared" si="8"/>
        <v>0</v>
      </c>
      <c r="L34" s="101">
        <f t="shared" si="9"/>
        <v>1</v>
      </c>
      <c r="M34" s="102">
        <f t="shared" si="11"/>
        <v>0</v>
      </c>
      <c r="N34" s="82"/>
    </row>
    <row r="35" spans="1:14" s="5" customFormat="1" x14ac:dyDescent="0.2">
      <c r="A35" s="20" t="s">
        <v>33</v>
      </c>
      <c r="B35" s="21">
        <f>SUM(B22:B34)</f>
        <v>68666749.510000005</v>
      </c>
      <c r="C35" s="21">
        <f>SUM(C22:C34)</f>
        <v>10267685.529999999</v>
      </c>
      <c r="D35" s="21">
        <f>SUM(D22:D34)</f>
        <v>1515.1</v>
      </c>
      <c r="E35" s="21">
        <f>SUM(E22:E34)</f>
        <v>5739086.2699999996</v>
      </c>
      <c r="F35" s="22">
        <f>+E35/C35</f>
        <v>0.55894643960721302</v>
      </c>
      <c r="G35" s="21">
        <f>SUM(G22:G34)</f>
        <v>4530114.3599999994</v>
      </c>
      <c r="H35" s="21">
        <f>SUM(H22:H34)</f>
        <v>4755738.7000000011</v>
      </c>
      <c r="I35" s="21">
        <f>SUM(I22:I34)</f>
        <v>1366543</v>
      </c>
      <c r="J35" s="21">
        <f>SUM(J22:J34)</f>
        <v>1592830.3599999999</v>
      </c>
      <c r="K35" s="21">
        <f>SUM(K22:K34)</f>
        <v>4529451.34</v>
      </c>
      <c r="L35" s="23"/>
      <c r="M35" s="95">
        <f t="shared" si="11"/>
        <v>-663.01999999955297</v>
      </c>
    </row>
    <row r="36" spans="1:14" x14ac:dyDescent="0.2">
      <c r="A36" s="9" t="s">
        <v>18</v>
      </c>
      <c r="B36" s="10">
        <v>0</v>
      </c>
      <c r="C36" s="10">
        <v>0</v>
      </c>
      <c r="D36" s="13"/>
      <c r="E36" s="10">
        <v>0</v>
      </c>
      <c r="F36" s="12">
        <v>0</v>
      </c>
      <c r="G36" s="10">
        <v>4283.6000000000004</v>
      </c>
      <c r="H36" s="10">
        <v>32268.68</v>
      </c>
      <c r="I36" s="10">
        <v>0</v>
      </c>
      <c r="J36" s="10">
        <v>27985.08</v>
      </c>
      <c r="K36" s="10">
        <f t="shared" si="8"/>
        <v>4283.5999999999985</v>
      </c>
      <c r="L36" s="15"/>
      <c r="M36" s="95">
        <f t="shared" si="11"/>
        <v>0</v>
      </c>
    </row>
    <row r="37" spans="1:14" x14ac:dyDescent="0.2">
      <c r="A37" s="9" t="s">
        <v>20</v>
      </c>
      <c r="B37" s="10">
        <v>0</v>
      </c>
      <c r="C37" s="10">
        <v>0</v>
      </c>
      <c r="D37" s="13"/>
      <c r="E37" s="10">
        <v>0</v>
      </c>
      <c r="F37" s="12">
        <v>0</v>
      </c>
      <c r="G37" s="10">
        <v>45477.47</v>
      </c>
      <c r="H37" s="10">
        <v>45477.47</v>
      </c>
      <c r="I37" s="10">
        <v>0</v>
      </c>
      <c r="J37" s="10">
        <v>0</v>
      </c>
      <c r="K37" s="10">
        <f t="shared" si="8"/>
        <v>45477.47</v>
      </c>
      <c r="L37" s="15"/>
      <c r="M37" s="95">
        <f t="shared" si="11"/>
        <v>0</v>
      </c>
    </row>
    <row r="38" spans="1:14" x14ac:dyDescent="0.2">
      <c r="A38" s="9" t="s">
        <v>25</v>
      </c>
      <c r="B38" s="10">
        <v>0</v>
      </c>
      <c r="C38" s="10">
        <v>0</v>
      </c>
      <c r="D38" s="13"/>
      <c r="E38" s="10">
        <v>0</v>
      </c>
      <c r="F38" s="12">
        <v>0</v>
      </c>
      <c r="G38" s="10">
        <v>45082.35</v>
      </c>
      <c r="H38" s="10">
        <v>45082.35</v>
      </c>
      <c r="I38" s="10">
        <v>0</v>
      </c>
      <c r="J38" s="10">
        <v>0</v>
      </c>
      <c r="K38" s="10">
        <f t="shared" si="8"/>
        <v>45082.35</v>
      </c>
      <c r="L38" s="15"/>
      <c r="M38" s="95">
        <f t="shared" si="11"/>
        <v>0</v>
      </c>
    </row>
    <row r="39" spans="1:14" x14ac:dyDescent="0.2">
      <c r="A39" s="9" t="s">
        <v>26</v>
      </c>
      <c r="B39" s="10">
        <v>0</v>
      </c>
      <c r="C39" s="10">
        <v>0</v>
      </c>
      <c r="D39" s="13"/>
      <c r="E39" s="10">
        <v>0</v>
      </c>
      <c r="F39" s="12">
        <v>0</v>
      </c>
      <c r="G39" s="10">
        <v>220218.16</v>
      </c>
      <c r="H39" s="10">
        <v>20218.16</v>
      </c>
      <c r="I39" s="10">
        <v>200000</v>
      </c>
      <c r="J39" s="10">
        <v>0</v>
      </c>
      <c r="K39" s="10">
        <f t="shared" si="8"/>
        <v>220218.16</v>
      </c>
      <c r="L39" s="15"/>
      <c r="M39" s="95">
        <f t="shared" si="11"/>
        <v>0</v>
      </c>
    </row>
    <row r="40" spans="1:14" x14ac:dyDescent="0.2">
      <c r="A40" s="9" t="s">
        <v>29</v>
      </c>
      <c r="B40" s="10">
        <v>0</v>
      </c>
      <c r="C40" s="10">
        <v>0</v>
      </c>
      <c r="D40" s="11">
        <v>0</v>
      </c>
      <c r="E40" s="10">
        <v>0</v>
      </c>
      <c r="F40" s="12">
        <v>0</v>
      </c>
      <c r="G40" s="10">
        <v>2494385.7599999998</v>
      </c>
      <c r="H40" s="10">
        <f>66.53+2511998.64</f>
        <v>2512065.17</v>
      </c>
      <c r="I40" s="10">
        <v>0</v>
      </c>
      <c r="J40" s="10">
        <v>17679.41</v>
      </c>
      <c r="K40" s="10">
        <f t="shared" si="8"/>
        <v>2494385.7599999998</v>
      </c>
      <c r="L40" s="15"/>
      <c r="M40" s="95">
        <f t="shared" si="11"/>
        <v>0</v>
      </c>
    </row>
    <row r="41" spans="1:14" ht="27" x14ac:dyDescent="0.2">
      <c r="A41" s="9" t="s">
        <v>34</v>
      </c>
      <c r="B41" s="10">
        <v>0</v>
      </c>
      <c r="C41" s="10">
        <v>154782.26</v>
      </c>
      <c r="D41" s="13">
        <v>0</v>
      </c>
      <c r="E41" s="10">
        <v>0</v>
      </c>
      <c r="F41" s="12">
        <v>0</v>
      </c>
      <c r="G41" s="10">
        <f>+C41+D41-E41</f>
        <v>154782.26</v>
      </c>
      <c r="H41" s="10">
        <v>237102.37</v>
      </c>
      <c r="I41" s="10">
        <v>0</v>
      </c>
      <c r="J41" s="10">
        <v>82320.11</v>
      </c>
      <c r="K41" s="10">
        <f t="shared" si="8"/>
        <v>154782.26</v>
      </c>
      <c r="L41" s="15"/>
      <c r="M41" s="95">
        <f t="shared" si="11"/>
        <v>0</v>
      </c>
    </row>
    <row r="42" spans="1:14" x14ac:dyDescent="0.2">
      <c r="A42" s="9"/>
      <c r="B42" s="10">
        <v>0</v>
      </c>
      <c r="C42" s="10">
        <v>0</v>
      </c>
      <c r="D42" s="10"/>
      <c r="E42" s="10">
        <v>0</v>
      </c>
      <c r="F42" s="12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8"/>
        <v>0</v>
      </c>
      <c r="L42" s="15"/>
      <c r="M42" s="95">
        <f t="shared" si="11"/>
        <v>0</v>
      </c>
    </row>
    <row r="43" spans="1:14" x14ac:dyDescent="0.2">
      <c r="A43" s="24" t="s">
        <v>35</v>
      </c>
      <c r="B43" s="25">
        <f>SUM(B36:B42)</f>
        <v>0</v>
      </c>
      <c r="C43" s="25">
        <f t="shared" ref="C43:K43" si="12">SUM(C36:C42)</f>
        <v>154782.26</v>
      </c>
      <c r="D43" s="25">
        <f t="shared" si="12"/>
        <v>0</v>
      </c>
      <c r="E43" s="25">
        <f t="shared" si="12"/>
        <v>0</v>
      </c>
      <c r="F43" s="25">
        <f t="shared" si="12"/>
        <v>0</v>
      </c>
      <c r="G43" s="25">
        <f t="shared" si="12"/>
        <v>2964229.5999999996</v>
      </c>
      <c r="H43" s="25">
        <f t="shared" si="12"/>
        <v>2892214.2</v>
      </c>
      <c r="I43" s="25">
        <f t="shared" si="12"/>
        <v>200000</v>
      </c>
      <c r="J43" s="25">
        <f t="shared" si="12"/>
        <v>127984.6</v>
      </c>
      <c r="K43" s="25">
        <f t="shared" si="12"/>
        <v>2964229.5999999996</v>
      </c>
      <c r="L43" s="27"/>
      <c r="M43" s="95">
        <f t="shared" si="11"/>
        <v>0</v>
      </c>
    </row>
    <row r="44" spans="1:14" x14ac:dyDescent="0.2">
      <c r="A44" s="9" t="s">
        <v>18</v>
      </c>
      <c r="B44" s="10">
        <v>0</v>
      </c>
      <c r="C44" s="10">
        <v>0</v>
      </c>
      <c r="D44" s="10"/>
      <c r="E44" s="10">
        <v>0</v>
      </c>
      <c r="F44" s="12">
        <v>0</v>
      </c>
      <c r="G44" s="10">
        <v>57064.89</v>
      </c>
      <c r="H44" s="10">
        <v>132233.86000000002</v>
      </c>
      <c r="I44" s="10">
        <v>185.03</v>
      </c>
      <c r="J44" s="10">
        <v>75354</v>
      </c>
      <c r="K44" s="10">
        <f t="shared" si="8"/>
        <v>57064.890000000014</v>
      </c>
      <c r="L44" s="15"/>
      <c r="M44" s="95">
        <f t="shared" si="11"/>
        <v>0</v>
      </c>
    </row>
    <row r="45" spans="1:14" x14ac:dyDescent="0.2">
      <c r="A45" s="9" t="s">
        <v>36</v>
      </c>
      <c r="B45" s="10">
        <v>0</v>
      </c>
      <c r="C45" s="10">
        <v>0</v>
      </c>
      <c r="D45" s="10"/>
      <c r="E45" s="10">
        <v>0</v>
      </c>
      <c r="F45" s="12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8"/>
        <v>0</v>
      </c>
      <c r="L45" s="15"/>
      <c r="M45" s="95">
        <f t="shared" si="11"/>
        <v>0</v>
      </c>
    </row>
    <row r="46" spans="1:14" x14ac:dyDescent="0.2">
      <c r="A46" s="9" t="s">
        <v>20</v>
      </c>
      <c r="B46" s="10">
        <v>0</v>
      </c>
      <c r="C46" s="10">
        <v>0</v>
      </c>
      <c r="D46" s="10"/>
      <c r="E46" s="10">
        <v>0</v>
      </c>
      <c r="F46" s="12">
        <v>0</v>
      </c>
      <c r="G46" s="10">
        <v>54914.5</v>
      </c>
      <c r="H46" s="10">
        <v>51501.9</v>
      </c>
      <c r="I46" s="10">
        <v>0</v>
      </c>
      <c r="J46" s="10">
        <v>-3412.6000000000931</v>
      </c>
      <c r="K46" s="10">
        <f t="shared" si="8"/>
        <v>54914.500000000095</v>
      </c>
      <c r="L46" s="15"/>
      <c r="M46" s="95">
        <f t="shared" si="11"/>
        <v>9.4587448984384537E-11</v>
      </c>
    </row>
    <row r="47" spans="1:14" x14ac:dyDescent="0.2">
      <c r="A47" s="9" t="s">
        <v>21</v>
      </c>
      <c r="B47" s="10">
        <v>0</v>
      </c>
      <c r="C47" s="10">
        <v>0</v>
      </c>
      <c r="D47" s="10"/>
      <c r="E47" s="10">
        <v>0</v>
      </c>
      <c r="F47" s="12">
        <v>0</v>
      </c>
      <c r="G47" s="10">
        <v>5979.07</v>
      </c>
      <c r="H47" s="10">
        <v>5979.07</v>
      </c>
      <c r="I47" s="10">
        <v>0</v>
      </c>
      <c r="J47" s="10">
        <v>0</v>
      </c>
      <c r="K47" s="10">
        <f t="shared" si="8"/>
        <v>5979.07</v>
      </c>
      <c r="L47" s="15"/>
      <c r="M47" s="95">
        <f t="shared" si="11"/>
        <v>0</v>
      </c>
    </row>
    <row r="48" spans="1:14" x14ac:dyDescent="0.2">
      <c r="A48" s="9" t="s">
        <v>22</v>
      </c>
      <c r="B48" s="10">
        <v>0</v>
      </c>
      <c r="C48" s="10">
        <v>0</v>
      </c>
      <c r="D48" s="10"/>
      <c r="E48" s="10">
        <v>0</v>
      </c>
      <c r="F48" s="12">
        <v>0</v>
      </c>
      <c r="G48" s="10">
        <v>60932.3</v>
      </c>
      <c r="H48" s="10">
        <v>60932.3</v>
      </c>
      <c r="I48" s="10">
        <v>0</v>
      </c>
      <c r="J48" s="10">
        <v>0</v>
      </c>
      <c r="K48" s="10">
        <f t="shared" si="8"/>
        <v>60932.3</v>
      </c>
      <c r="L48" s="15"/>
      <c r="M48" s="95">
        <f t="shared" si="11"/>
        <v>0</v>
      </c>
    </row>
    <row r="49" spans="1:13" x14ac:dyDescent="0.2">
      <c r="A49" s="9" t="s">
        <v>24</v>
      </c>
      <c r="B49" s="10">
        <v>0</v>
      </c>
      <c r="C49" s="10">
        <v>0</v>
      </c>
      <c r="D49" s="10"/>
      <c r="E49" s="10">
        <v>0</v>
      </c>
      <c r="F49" s="12">
        <v>0</v>
      </c>
      <c r="G49" s="10">
        <v>17486.5</v>
      </c>
      <c r="H49" s="10">
        <v>17486.5</v>
      </c>
      <c r="I49" s="10">
        <v>0</v>
      </c>
      <c r="J49" s="10">
        <v>0</v>
      </c>
      <c r="K49" s="10">
        <f t="shared" si="8"/>
        <v>17486.5</v>
      </c>
      <c r="L49" s="15"/>
      <c r="M49" s="95">
        <f t="shared" si="11"/>
        <v>0</v>
      </c>
    </row>
    <row r="50" spans="1:13" x14ac:dyDescent="0.2">
      <c r="A50" s="9" t="s">
        <v>25</v>
      </c>
      <c r="B50" s="10">
        <v>0</v>
      </c>
      <c r="C50" s="10">
        <v>0</v>
      </c>
      <c r="D50" s="10"/>
      <c r="E50" s="10">
        <v>0</v>
      </c>
      <c r="F50" s="12">
        <v>0</v>
      </c>
      <c r="G50" s="10">
        <v>11051.67</v>
      </c>
      <c r="H50" s="10">
        <v>11051.67</v>
      </c>
      <c r="I50" s="10">
        <v>0</v>
      </c>
      <c r="J50" s="10">
        <v>0</v>
      </c>
      <c r="K50" s="10">
        <f t="shared" si="8"/>
        <v>11051.67</v>
      </c>
      <c r="L50" s="15"/>
      <c r="M50" s="95">
        <f t="shared" si="11"/>
        <v>0</v>
      </c>
    </row>
    <row r="51" spans="1:13" x14ac:dyDescent="0.2">
      <c r="A51" s="9" t="s">
        <v>29</v>
      </c>
      <c r="B51" s="10">
        <v>0</v>
      </c>
      <c r="C51" s="10">
        <v>0</v>
      </c>
      <c r="D51" s="10">
        <v>0</v>
      </c>
      <c r="E51" s="10">
        <v>0</v>
      </c>
      <c r="F51" s="12">
        <v>0</v>
      </c>
      <c r="G51" s="10">
        <v>148467.66</v>
      </c>
      <c r="H51" s="10">
        <v>158380.9</v>
      </c>
      <c r="I51" s="10"/>
      <c r="J51" s="10">
        <f>2876.27+7036.97</f>
        <v>9913.24</v>
      </c>
      <c r="K51" s="10">
        <f t="shared" si="8"/>
        <v>148467.66</v>
      </c>
      <c r="L51" s="15"/>
      <c r="M51" s="95">
        <f t="shared" si="11"/>
        <v>0</v>
      </c>
    </row>
    <row r="52" spans="1:13" x14ac:dyDescent="0.2">
      <c r="A52" s="9" t="s">
        <v>30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6199.68</v>
      </c>
      <c r="H52" s="10">
        <v>0</v>
      </c>
      <c r="I52" s="10">
        <v>6199.68</v>
      </c>
      <c r="J52" s="10">
        <v>0</v>
      </c>
      <c r="K52" s="10">
        <f t="shared" si="8"/>
        <v>6199.68</v>
      </c>
      <c r="L52" s="15"/>
      <c r="M52" s="95">
        <f t="shared" si="11"/>
        <v>0</v>
      </c>
    </row>
    <row r="53" spans="1:13" x14ac:dyDescent="0.2">
      <c r="A53" s="9">
        <v>3001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510.97</v>
      </c>
      <c r="H53" s="10">
        <v>696</v>
      </c>
      <c r="I53" s="10">
        <v>0</v>
      </c>
      <c r="J53" s="10">
        <v>185.03</v>
      </c>
      <c r="K53" s="10">
        <f t="shared" si="8"/>
        <v>510.97</v>
      </c>
      <c r="L53" s="15"/>
      <c r="M53" s="95">
        <f t="shared" si="11"/>
        <v>0</v>
      </c>
    </row>
    <row r="54" spans="1:13" x14ac:dyDescent="0.2">
      <c r="A54" s="9">
        <v>3002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64791.47</v>
      </c>
      <c r="H54" s="10">
        <v>64920.78</v>
      </c>
      <c r="I54" s="10">
        <v>0</v>
      </c>
      <c r="J54" s="10">
        <v>129.31</v>
      </c>
      <c r="K54" s="10">
        <f t="shared" si="8"/>
        <v>64791.47</v>
      </c>
      <c r="L54" s="15"/>
      <c r="M54" s="95">
        <f t="shared" si="11"/>
        <v>0</v>
      </c>
    </row>
    <row r="55" spans="1:13" x14ac:dyDescent="0.2">
      <c r="A55" s="9"/>
      <c r="B55" s="10">
        <v>0</v>
      </c>
      <c r="C55" s="10">
        <v>0</v>
      </c>
      <c r="D55" s="10"/>
      <c r="E55" s="10">
        <v>0</v>
      </c>
      <c r="F55" s="12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8"/>
        <v>0</v>
      </c>
      <c r="L55" s="15"/>
      <c r="M55" s="95">
        <f t="shared" si="11"/>
        <v>0</v>
      </c>
    </row>
    <row r="56" spans="1:13" x14ac:dyDescent="0.2">
      <c r="A56" s="24" t="s">
        <v>37</v>
      </c>
      <c r="B56" s="25">
        <f>SUM(B44:B55)</f>
        <v>0</v>
      </c>
      <c r="C56" s="25">
        <f t="shared" ref="C56:K56" si="13">SUM(C44:C55)</f>
        <v>0</v>
      </c>
      <c r="D56" s="25">
        <f t="shared" si="13"/>
        <v>0</v>
      </c>
      <c r="E56" s="25">
        <f t="shared" si="13"/>
        <v>0</v>
      </c>
      <c r="F56" s="25">
        <f t="shared" si="13"/>
        <v>0</v>
      </c>
      <c r="G56" s="25">
        <f t="shared" si="13"/>
        <v>427398.70999999996</v>
      </c>
      <c r="H56" s="25">
        <f t="shared" si="13"/>
        <v>503182.98</v>
      </c>
      <c r="I56" s="25">
        <f t="shared" si="13"/>
        <v>6384.71</v>
      </c>
      <c r="J56" s="25">
        <f t="shared" si="13"/>
        <v>82168.979999999909</v>
      </c>
      <c r="K56" s="25">
        <f t="shared" si="13"/>
        <v>427398.71000000008</v>
      </c>
      <c r="L56" s="27"/>
      <c r="M56" s="95">
        <f>+K56-G56</f>
        <v>0</v>
      </c>
    </row>
    <row r="57" spans="1:13" x14ac:dyDescent="0.2">
      <c r="A57" s="9" t="s">
        <v>18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38436.01</v>
      </c>
      <c r="H57" s="10">
        <v>62509.189999999988</v>
      </c>
      <c r="I57" s="10">
        <v>236626.82</v>
      </c>
      <c r="J57" s="10">
        <v>260700</v>
      </c>
      <c r="K57" s="10">
        <f t="shared" si="8"/>
        <v>38436.010000000009</v>
      </c>
      <c r="L57" s="15"/>
      <c r="M57" s="95">
        <f t="shared" si="11"/>
        <v>0</v>
      </c>
    </row>
    <row r="58" spans="1:13" x14ac:dyDescent="0.2">
      <c r="A58" s="9" t="s">
        <v>20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137672.87</v>
      </c>
      <c r="H58" s="10">
        <v>19069.32</v>
      </c>
      <c r="I58" s="10">
        <v>1797063.97</v>
      </c>
      <c r="J58" s="10">
        <v>1678460.42</v>
      </c>
      <c r="K58" s="10">
        <f t="shared" si="8"/>
        <v>137672.87000000011</v>
      </c>
      <c r="L58" s="15"/>
      <c r="M58" s="95">
        <f t="shared" si="11"/>
        <v>0</v>
      </c>
    </row>
    <row r="59" spans="1:13" x14ac:dyDescent="0.2">
      <c r="A59" s="9" t="s">
        <v>24</v>
      </c>
      <c r="B59" s="10">
        <v>0</v>
      </c>
      <c r="C59" s="10">
        <v>17884.25</v>
      </c>
      <c r="D59" s="10">
        <f>7.16+6.59</f>
        <v>13.75</v>
      </c>
      <c r="E59" s="10">
        <v>696</v>
      </c>
      <c r="F59" s="12">
        <v>0</v>
      </c>
      <c r="G59" s="10">
        <f>+C59+D59-E59</f>
        <v>17202</v>
      </c>
      <c r="H59" s="10">
        <v>17202</v>
      </c>
      <c r="I59" s="10">
        <v>0</v>
      </c>
      <c r="J59" s="10">
        <v>0</v>
      </c>
      <c r="K59" s="10">
        <f t="shared" si="8"/>
        <v>17202</v>
      </c>
      <c r="L59" s="15"/>
      <c r="M59" s="62">
        <f t="shared" si="11"/>
        <v>0</v>
      </c>
    </row>
    <row r="60" spans="1:13" x14ac:dyDescent="0.2">
      <c r="A60" s="9" t="s">
        <v>25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18649.8</v>
      </c>
      <c r="H60" s="10">
        <v>40388.06</v>
      </c>
      <c r="I60" s="10">
        <v>100000</v>
      </c>
      <c r="J60" s="10">
        <v>121738.26</v>
      </c>
      <c r="K60" s="10">
        <f t="shared" si="8"/>
        <v>18649.800000000003</v>
      </c>
      <c r="L60" s="15"/>
      <c r="M60" s="95">
        <f t="shared" si="11"/>
        <v>0</v>
      </c>
    </row>
    <row r="61" spans="1:13" x14ac:dyDescent="0.2">
      <c r="A61" s="9" t="s">
        <v>29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337850.79</v>
      </c>
      <c r="H61" s="10">
        <v>419631.03</v>
      </c>
      <c r="I61" s="10">
        <v>-7.49</v>
      </c>
      <c r="J61" s="10">
        <v>81772.75</v>
      </c>
      <c r="K61" s="10">
        <f t="shared" si="8"/>
        <v>337850.79000000004</v>
      </c>
      <c r="L61" s="15"/>
      <c r="M61" s="95">
        <f t="shared" si="11"/>
        <v>0</v>
      </c>
    </row>
    <row r="62" spans="1:13" x14ac:dyDescent="0.2">
      <c r="A62" s="9" t="s">
        <v>30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0</v>
      </c>
      <c r="H62" s="10">
        <v>538779.80000000005</v>
      </c>
      <c r="I62" s="10">
        <v>0</v>
      </c>
      <c r="J62" s="10">
        <v>538779.80000000005</v>
      </c>
      <c r="K62" s="10">
        <f t="shared" si="8"/>
        <v>0</v>
      </c>
      <c r="L62" s="15"/>
      <c r="M62" s="95">
        <f t="shared" si="11"/>
        <v>0</v>
      </c>
    </row>
    <row r="63" spans="1:13" x14ac:dyDescent="0.2">
      <c r="A63" s="9">
        <v>3001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314.99</v>
      </c>
      <c r="H63" s="10">
        <v>315</v>
      </c>
      <c r="I63" s="10">
        <v>0</v>
      </c>
      <c r="J63" s="10">
        <v>0.01</v>
      </c>
      <c r="K63" s="10">
        <f t="shared" si="8"/>
        <v>314.99</v>
      </c>
      <c r="L63" s="15"/>
      <c r="M63" s="95">
        <f t="shared" si="11"/>
        <v>0</v>
      </c>
    </row>
    <row r="64" spans="1:13" x14ac:dyDescent="0.2">
      <c r="A64" s="9">
        <v>3002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12858.9</v>
      </c>
      <c r="H64" s="10">
        <v>12858.91</v>
      </c>
      <c r="I64" s="10">
        <v>0</v>
      </c>
      <c r="J64" s="10">
        <v>0.01</v>
      </c>
      <c r="K64" s="10">
        <f t="shared" si="8"/>
        <v>12858.9</v>
      </c>
      <c r="L64" s="15"/>
      <c r="M64" s="95">
        <f t="shared" si="11"/>
        <v>0</v>
      </c>
    </row>
    <row r="65" spans="1:13" x14ac:dyDescent="0.2">
      <c r="A65" s="9"/>
      <c r="B65" s="10">
        <v>0</v>
      </c>
      <c r="C65" s="10">
        <v>0</v>
      </c>
      <c r="D65" s="10"/>
      <c r="E65" s="10">
        <v>0</v>
      </c>
      <c r="F65" s="12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8"/>
        <v>0</v>
      </c>
      <c r="L65" s="15"/>
      <c r="M65" s="95">
        <f t="shared" si="11"/>
        <v>0</v>
      </c>
    </row>
    <row r="66" spans="1:13" x14ac:dyDescent="0.2">
      <c r="A66" s="24" t="s">
        <v>38</v>
      </c>
      <c r="B66" s="25">
        <f>SUM(B57:B65)</f>
        <v>0</v>
      </c>
      <c r="C66" s="25">
        <f t="shared" ref="C66:K66" si="14">SUM(C57:C65)</f>
        <v>17884.25</v>
      </c>
      <c r="D66" s="25">
        <f t="shared" si="14"/>
        <v>13.75</v>
      </c>
      <c r="E66" s="25">
        <f t="shared" si="14"/>
        <v>696</v>
      </c>
      <c r="F66" s="25">
        <f t="shared" si="14"/>
        <v>0</v>
      </c>
      <c r="G66" s="25">
        <f t="shared" si="14"/>
        <v>562985.36</v>
      </c>
      <c r="H66" s="25">
        <f t="shared" si="14"/>
        <v>1110753.3099999998</v>
      </c>
      <c r="I66" s="25">
        <f t="shared" si="14"/>
        <v>2133683.2999999998</v>
      </c>
      <c r="J66" s="25">
        <f t="shared" si="14"/>
        <v>2681451.2499999991</v>
      </c>
      <c r="K66" s="25">
        <f t="shared" si="14"/>
        <v>562985.36000000022</v>
      </c>
      <c r="L66" s="27"/>
      <c r="M66" s="95">
        <f t="shared" si="11"/>
        <v>0</v>
      </c>
    </row>
    <row r="67" spans="1:13" x14ac:dyDescent="0.2">
      <c r="A67" s="9" t="s">
        <v>18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70435.27</v>
      </c>
      <c r="H67" s="10">
        <v>27196.65</v>
      </c>
      <c r="I67" s="10">
        <v>1260055.98</v>
      </c>
      <c r="J67" s="10">
        <v>1216817.3599999999</v>
      </c>
      <c r="K67" s="10">
        <f t="shared" si="8"/>
        <v>70435.270000000019</v>
      </c>
      <c r="L67" s="15"/>
      <c r="M67" s="95">
        <f t="shared" si="11"/>
        <v>0</v>
      </c>
    </row>
    <row r="68" spans="1:13" x14ac:dyDescent="0.2">
      <c r="A68" s="9" t="s">
        <v>36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-10</v>
      </c>
      <c r="H68" s="10">
        <v>-10</v>
      </c>
      <c r="I68" s="10">
        <v>0</v>
      </c>
      <c r="J68" s="10">
        <v>0</v>
      </c>
      <c r="K68" s="10">
        <f t="shared" si="8"/>
        <v>-10</v>
      </c>
      <c r="L68" s="15"/>
      <c r="M68" s="95">
        <f t="shared" si="11"/>
        <v>0</v>
      </c>
    </row>
    <row r="69" spans="1:13" x14ac:dyDescent="0.2">
      <c r="A69" s="9" t="s">
        <v>20</v>
      </c>
      <c r="B69" s="10">
        <v>0</v>
      </c>
      <c r="C69" s="10">
        <v>0</v>
      </c>
      <c r="D69" s="10"/>
      <c r="E69" s="10">
        <v>0</v>
      </c>
      <c r="F69" s="12">
        <v>0</v>
      </c>
      <c r="G69" s="10">
        <v>10409.09</v>
      </c>
      <c r="H69" s="10">
        <v>8124.4500000000007</v>
      </c>
      <c r="I69" s="10">
        <v>1364164.99</v>
      </c>
      <c r="J69" s="10">
        <v>1361880.35</v>
      </c>
      <c r="K69" s="10">
        <f t="shared" si="8"/>
        <v>10409.089999999851</v>
      </c>
      <c r="L69" s="15"/>
      <c r="M69" s="95">
        <f t="shared" si="11"/>
        <v>-1.4915713109076023E-10</v>
      </c>
    </row>
    <row r="70" spans="1:13" x14ac:dyDescent="0.2">
      <c r="A70" s="9" t="s">
        <v>24</v>
      </c>
      <c r="B70" s="10">
        <v>0</v>
      </c>
      <c r="C70" s="10">
        <v>0</v>
      </c>
      <c r="D70" s="10"/>
      <c r="E70" s="10">
        <v>0</v>
      </c>
      <c r="F70" s="12">
        <v>0</v>
      </c>
      <c r="G70" s="10">
        <v>1150.8900000000001</v>
      </c>
      <c r="H70" s="10">
        <v>42631.81</v>
      </c>
      <c r="I70" s="10">
        <v>412765.08</v>
      </c>
      <c r="J70" s="10">
        <v>454246</v>
      </c>
      <c r="K70" s="10">
        <f t="shared" si="8"/>
        <v>1150.890000000014</v>
      </c>
      <c r="L70" s="15"/>
      <c r="M70" s="95">
        <f t="shared" si="11"/>
        <v>1.3869794202037156E-11</v>
      </c>
    </row>
    <row r="71" spans="1:13" x14ac:dyDescent="0.2">
      <c r="A71" s="9" t="s">
        <v>25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-1415.64</v>
      </c>
      <c r="H71" s="10">
        <v>719.87</v>
      </c>
      <c r="I71" s="10">
        <v>17662.490000000002</v>
      </c>
      <c r="J71" s="10">
        <v>19798</v>
      </c>
      <c r="K71" s="10">
        <f t="shared" si="8"/>
        <v>-1415.6399999999994</v>
      </c>
      <c r="L71" s="15"/>
      <c r="M71" s="95">
        <f t="shared" si="11"/>
        <v>0</v>
      </c>
    </row>
    <row r="72" spans="1:13" x14ac:dyDescent="0.2">
      <c r="A72" s="9" t="s">
        <v>27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267528.84000000003</v>
      </c>
      <c r="H72" s="10">
        <v>0</v>
      </c>
      <c r="I72" s="10">
        <v>267528.84000000003</v>
      </c>
      <c r="J72" s="10">
        <v>0</v>
      </c>
      <c r="K72" s="10">
        <f t="shared" si="8"/>
        <v>267528.84000000003</v>
      </c>
      <c r="L72" s="15"/>
      <c r="M72" s="95">
        <f t="shared" si="11"/>
        <v>0</v>
      </c>
    </row>
    <row r="73" spans="1:13" x14ac:dyDescent="0.2">
      <c r="A73" s="9" t="s">
        <v>29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238880.59</v>
      </c>
      <c r="H73" s="10">
        <v>286118.3</v>
      </c>
      <c r="I73" s="10">
        <v>98358.74</v>
      </c>
      <c r="J73" s="10">
        <v>145596.44999999998</v>
      </c>
      <c r="K73" s="10">
        <f t="shared" si="8"/>
        <v>238880.59</v>
      </c>
      <c r="L73" s="15"/>
      <c r="M73" s="95">
        <f t="shared" si="11"/>
        <v>0</v>
      </c>
    </row>
    <row r="74" spans="1:13" x14ac:dyDescent="0.2">
      <c r="A74" s="9" t="s">
        <v>30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8"/>
        <v>0</v>
      </c>
      <c r="L74" s="15"/>
      <c r="M74" s="95">
        <f t="shared" si="11"/>
        <v>0</v>
      </c>
    </row>
    <row r="75" spans="1:13" x14ac:dyDescent="0.2">
      <c r="A75" s="9"/>
      <c r="B75" s="10">
        <v>0</v>
      </c>
      <c r="C75" s="10">
        <v>0</v>
      </c>
      <c r="D75" s="10"/>
      <c r="E75" s="10">
        <v>0</v>
      </c>
      <c r="F75" s="12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8"/>
        <v>0</v>
      </c>
      <c r="L75" s="15"/>
      <c r="M75" s="95">
        <f t="shared" si="11"/>
        <v>0</v>
      </c>
    </row>
    <row r="76" spans="1:13" x14ac:dyDescent="0.2">
      <c r="A76" s="24" t="s">
        <v>39</v>
      </c>
      <c r="B76" s="25">
        <f>SUM(B67:B75)</f>
        <v>0</v>
      </c>
      <c r="C76" s="25">
        <f t="shared" ref="C76:K76" si="15">SUM(C67:C75)</f>
        <v>0</v>
      </c>
      <c r="D76" s="25">
        <f t="shared" si="15"/>
        <v>0</v>
      </c>
      <c r="E76" s="25">
        <f t="shared" si="15"/>
        <v>0</v>
      </c>
      <c r="F76" s="25">
        <f t="shared" si="15"/>
        <v>0</v>
      </c>
      <c r="G76" s="25">
        <f t="shared" si="15"/>
        <v>586979.04</v>
      </c>
      <c r="H76" s="25">
        <f t="shared" si="15"/>
        <v>364781.07999999996</v>
      </c>
      <c r="I76" s="25">
        <f t="shared" si="15"/>
        <v>3420536.12</v>
      </c>
      <c r="J76" s="25">
        <f t="shared" si="15"/>
        <v>3198338.16</v>
      </c>
      <c r="K76" s="25">
        <f t="shared" si="15"/>
        <v>586979.03999999992</v>
      </c>
      <c r="L76" s="27"/>
      <c r="M76" s="95">
        <f t="shared" si="11"/>
        <v>0</v>
      </c>
    </row>
    <row r="77" spans="1:13" x14ac:dyDescent="0.2">
      <c r="A77" s="9" t="s">
        <v>18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1852.17</v>
      </c>
      <c r="H77" s="10">
        <v>21852.97</v>
      </c>
      <c r="I77" s="10">
        <v>0</v>
      </c>
      <c r="J77" s="10">
        <v>20000.8</v>
      </c>
      <c r="K77" s="10">
        <f t="shared" si="8"/>
        <v>1852.1700000000019</v>
      </c>
      <c r="L77" s="15"/>
      <c r="M77" s="95">
        <f t="shared" si="11"/>
        <v>1.8189894035458565E-12</v>
      </c>
    </row>
    <row r="78" spans="1:13" x14ac:dyDescent="0.2">
      <c r="A78" s="9" t="s">
        <v>24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43212.38</v>
      </c>
      <c r="H78" s="10">
        <v>43212.38</v>
      </c>
      <c r="I78" s="10">
        <v>0</v>
      </c>
      <c r="J78" s="10">
        <v>0</v>
      </c>
      <c r="K78" s="10">
        <f t="shared" si="8"/>
        <v>43212.38</v>
      </c>
      <c r="L78" s="15"/>
      <c r="M78" s="95">
        <f t="shared" si="11"/>
        <v>0</v>
      </c>
    </row>
    <row r="79" spans="1:13" x14ac:dyDescent="0.2">
      <c r="A79" s="9" t="s">
        <v>25</v>
      </c>
      <c r="B79" s="10">
        <v>0</v>
      </c>
      <c r="C79" s="10">
        <v>0</v>
      </c>
      <c r="D79" s="10"/>
      <c r="E79" s="10">
        <v>0</v>
      </c>
      <c r="F79" s="12">
        <v>0</v>
      </c>
      <c r="G79" s="10">
        <v>1625.34</v>
      </c>
      <c r="H79" s="10">
        <v>8443.23</v>
      </c>
      <c r="I79" s="10">
        <v>10845.58</v>
      </c>
      <c r="J79" s="10">
        <v>17663.47</v>
      </c>
      <c r="K79" s="10">
        <f t="shared" si="8"/>
        <v>1625.3399999999965</v>
      </c>
      <c r="L79" s="15"/>
      <c r="M79" s="95">
        <f t="shared" si="11"/>
        <v>-3.4106051316484809E-12</v>
      </c>
    </row>
    <row r="80" spans="1:13" x14ac:dyDescent="0.2">
      <c r="A80" s="9" t="s">
        <v>26</v>
      </c>
      <c r="B80" s="10">
        <v>0</v>
      </c>
      <c r="C80" s="10">
        <v>0</v>
      </c>
      <c r="D80" s="10"/>
      <c r="E80" s="10">
        <v>0</v>
      </c>
      <c r="F80" s="12">
        <v>0</v>
      </c>
      <c r="G80" s="10">
        <v>20682.669999999998</v>
      </c>
      <c r="H80" s="10">
        <v>0</v>
      </c>
      <c r="I80" s="10">
        <v>20682.669999999998</v>
      </c>
      <c r="J80" s="10">
        <v>0</v>
      </c>
      <c r="K80" s="10">
        <f t="shared" si="8"/>
        <v>20682.669999999998</v>
      </c>
      <c r="L80" s="15"/>
      <c r="M80" s="95">
        <f t="shared" si="11"/>
        <v>0</v>
      </c>
    </row>
    <row r="81" spans="1:13" x14ac:dyDescent="0.2">
      <c r="A81" s="9" t="s">
        <v>29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74081.95</v>
      </c>
      <c r="H81" s="10">
        <v>79147.360000000001</v>
      </c>
      <c r="I81" s="10">
        <v>0</v>
      </c>
      <c r="J81" s="10">
        <v>5065.41</v>
      </c>
      <c r="K81" s="10">
        <f t="shared" si="8"/>
        <v>74081.95</v>
      </c>
      <c r="L81" s="15"/>
      <c r="M81" s="95">
        <f t="shared" si="11"/>
        <v>0</v>
      </c>
    </row>
    <row r="82" spans="1:13" x14ac:dyDescent="0.2">
      <c r="A82" s="9" t="s">
        <v>30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8"/>
        <v>0</v>
      </c>
      <c r="L82" s="15"/>
      <c r="M82" s="95">
        <f t="shared" si="11"/>
        <v>0</v>
      </c>
    </row>
    <row r="83" spans="1:13" x14ac:dyDescent="0.2">
      <c r="A83" s="9"/>
      <c r="B83" s="10">
        <v>0</v>
      </c>
      <c r="C83" s="10">
        <v>0</v>
      </c>
      <c r="D83" s="10"/>
      <c r="E83" s="10">
        <v>0</v>
      </c>
      <c r="F83" s="12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8"/>
        <v>0</v>
      </c>
      <c r="L83" s="15"/>
      <c r="M83" s="95">
        <f t="shared" si="11"/>
        <v>0</v>
      </c>
    </row>
    <row r="84" spans="1:13" x14ac:dyDescent="0.2">
      <c r="A84" s="24" t="s">
        <v>40</v>
      </c>
      <c r="B84" s="25">
        <f>SUM(B77:B83)</f>
        <v>0</v>
      </c>
      <c r="C84" s="25">
        <f t="shared" ref="C84:K84" si="16">SUM(C77:C83)</f>
        <v>0</v>
      </c>
      <c r="D84" s="25">
        <f t="shared" si="16"/>
        <v>0</v>
      </c>
      <c r="E84" s="25">
        <f t="shared" si="16"/>
        <v>0</v>
      </c>
      <c r="F84" s="25">
        <f t="shared" si="16"/>
        <v>0</v>
      </c>
      <c r="G84" s="25">
        <f t="shared" si="16"/>
        <v>141454.51</v>
      </c>
      <c r="H84" s="25">
        <f t="shared" si="16"/>
        <v>152655.94</v>
      </c>
      <c r="I84" s="25">
        <f t="shared" si="16"/>
        <v>31528.25</v>
      </c>
      <c r="J84" s="25">
        <f t="shared" si="16"/>
        <v>42729.680000000008</v>
      </c>
      <c r="K84" s="25">
        <f t="shared" si="16"/>
        <v>141454.51</v>
      </c>
      <c r="L84" s="27"/>
      <c r="M84" s="95">
        <f t="shared" si="11"/>
        <v>0</v>
      </c>
    </row>
    <row r="85" spans="1:13" x14ac:dyDescent="0.2">
      <c r="A85" s="9" t="s">
        <v>36</v>
      </c>
      <c r="B85" s="10">
        <v>0</v>
      </c>
      <c r="C85" s="10">
        <v>0</v>
      </c>
      <c r="D85" s="10"/>
      <c r="E85" s="10">
        <v>0</v>
      </c>
      <c r="F85" s="12">
        <v>0</v>
      </c>
      <c r="G85" s="10">
        <v>12193</v>
      </c>
      <c r="H85" s="10">
        <v>13553.029999999999</v>
      </c>
      <c r="I85" s="10">
        <v>0</v>
      </c>
      <c r="J85" s="10">
        <v>1360.03</v>
      </c>
      <c r="K85" s="10">
        <f t="shared" si="8"/>
        <v>12192.999999999998</v>
      </c>
      <c r="L85" s="15"/>
      <c r="M85" s="95">
        <f t="shared" si="11"/>
        <v>0</v>
      </c>
    </row>
    <row r="86" spans="1:13" x14ac:dyDescent="0.2">
      <c r="A86" s="9" t="s">
        <v>29</v>
      </c>
      <c r="B86" s="10">
        <v>0</v>
      </c>
      <c r="C86" s="10">
        <v>0</v>
      </c>
      <c r="D86" s="10"/>
      <c r="E86" s="10">
        <v>0</v>
      </c>
      <c r="F86" s="12">
        <v>0</v>
      </c>
      <c r="G86" s="10">
        <v>7163.64</v>
      </c>
      <c r="H86" s="10">
        <v>6216.71</v>
      </c>
      <c r="I86" s="10">
        <v>4500</v>
      </c>
      <c r="J86" s="10">
        <v>3553.0699999999997</v>
      </c>
      <c r="K86" s="10">
        <f t="shared" si="8"/>
        <v>7163.6399999999994</v>
      </c>
      <c r="L86" s="15"/>
      <c r="M86" s="95">
        <f t="shared" si="11"/>
        <v>0</v>
      </c>
    </row>
    <row r="87" spans="1:13" x14ac:dyDescent="0.2">
      <c r="A87" s="9"/>
      <c r="B87" s="10">
        <v>0</v>
      </c>
      <c r="C87" s="10">
        <v>0</v>
      </c>
      <c r="D87" s="10"/>
      <c r="E87" s="10">
        <v>0</v>
      </c>
      <c r="F87" s="12">
        <v>0</v>
      </c>
      <c r="G87" s="10">
        <v>0</v>
      </c>
      <c r="H87" s="10">
        <v>0</v>
      </c>
      <c r="I87" s="10">
        <v>0</v>
      </c>
      <c r="J87" s="10">
        <v>0</v>
      </c>
      <c r="K87" s="10">
        <f>H87+I87-J87</f>
        <v>0</v>
      </c>
      <c r="L87" s="15"/>
      <c r="M87" s="95">
        <f t="shared" si="11"/>
        <v>0</v>
      </c>
    </row>
    <row r="88" spans="1:13" x14ac:dyDescent="0.2">
      <c r="A88" s="24" t="s">
        <v>41</v>
      </c>
      <c r="B88" s="25">
        <f>+B85+B86+B87</f>
        <v>0</v>
      </c>
      <c r="C88" s="25">
        <f t="shared" ref="C88:K88" si="17">+C85+C86+C87</f>
        <v>0</v>
      </c>
      <c r="D88" s="25">
        <f t="shared" si="17"/>
        <v>0</v>
      </c>
      <c r="E88" s="25">
        <f t="shared" si="17"/>
        <v>0</v>
      </c>
      <c r="F88" s="25">
        <f t="shared" si="17"/>
        <v>0</v>
      </c>
      <c r="G88" s="25">
        <f t="shared" si="17"/>
        <v>19356.64</v>
      </c>
      <c r="H88" s="25">
        <f t="shared" si="17"/>
        <v>19769.739999999998</v>
      </c>
      <c r="I88" s="25">
        <f t="shared" si="17"/>
        <v>4500</v>
      </c>
      <c r="J88" s="25">
        <f t="shared" si="17"/>
        <v>4913.0999999999995</v>
      </c>
      <c r="K88" s="25">
        <f t="shared" si="17"/>
        <v>19356.64</v>
      </c>
      <c r="L88" s="27"/>
      <c r="M88" s="95">
        <f t="shared" si="11"/>
        <v>0</v>
      </c>
    </row>
    <row r="89" spans="1:13" x14ac:dyDescent="0.2">
      <c r="A89" s="9" t="s">
        <v>36</v>
      </c>
      <c r="B89" s="10">
        <v>0</v>
      </c>
      <c r="C89" s="10">
        <v>0</v>
      </c>
      <c r="D89" s="10"/>
      <c r="E89" s="10">
        <v>0</v>
      </c>
      <c r="F89" s="12">
        <v>0</v>
      </c>
      <c r="G89" s="10">
        <v>4081.54</v>
      </c>
      <c r="H89" s="10">
        <v>4081.54</v>
      </c>
      <c r="I89" s="10">
        <v>0</v>
      </c>
      <c r="J89" s="10">
        <v>0</v>
      </c>
      <c r="K89" s="10">
        <f>H89+I89-J89</f>
        <v>4081.54</v>
      </c>
      <c r="L89" s="15"/>
      <c r="M89" s="95">
        <f t="shared" si="11"/>
        <v>0</v>
      </c>
    </row>
    <row r="90" spans="1:13" x14ac:dyDescent="0.2">
      <c r="A90" s="9" t="s">
        <v>29</v>
      </c>
      <c r="B90" s="10">
        <v>0</v>
      </c>
      <c r="C90" s="10">
        <v>0</v>
      </c>
      <c r="D90" s="10"/>
      <c r="E90" s="10">
        <v>0</v>
      </c>
      <c r="F90" s="12">
        <v>0</v>
      </c>
      <c r="G90" s="10">
        <v>28063.68</v>
      </c>
      <c r="H90" s="10">
        <v>2763.68</v>
      </c>
      <c r="I90" s="10">
        <v>25300</v>
      </c>
      <c r="J90" s="10">
        <v>0</v>
      </c>
      <c r="K90" s="10">
        <f>H90+I90-J90</f>
        <v>28063.68</v>
      </c>
      <c r="L90" s="15"/>
      <c r="M90" s="95">
        <f t="shared" si="11"/>
        <v>0</v>
      </c>
    </row>
    <row r="91" spans="1:13" x14ac:dyDescent="0.2">
      <c r="A91" s="9"/>
      <c r="B91" s="10">
        <v>0</v>
      </c>
      <c r="C91" s="10">
        <v>0</v>
      </c>
      <c r="D91" s="10"/>
      <c r="E91" s="10">
        <v>0</v>
      </c>
      <c r="F91" s="12">
        <v>0</v>
      </c>
      <c r="G91" s="10">
        <v>0</v>
      </c>
      <c r="H91" s="10">
        <v>0</v>
      </c>
      <c r="I91" s="10">
        <v>0</v>
      </c>
      <c r="J91" s="10">
        <v>0</v>
      </c>
      <c r="K91" s="10">
        <f>H91+I91-J91</f>
        <v>0</v>
      </c>
      <c r="L91" s="15"/>
      <c r="M91" s="95">
        <f t="shared" si="11"/>
        <v>0</v>
      </c>
    </row>
    <row r="92" spans="1:13" x14ac:dyDescent="0.2">
      <c r="A92" s="24" t="s">
        <v>42</v>
      </c>
      <c r="B92" s="25">
        <f>+B89+B90+B91</f>
        <v>0</v>
      </c>
      <c r="C92" s="25">
        <f t="shared" ref="C92:K92" si="18">+C89+C90+C91</f>
        <v>0</v>
      </c>
      <c r="D92" s="25">
        <f t="shared" si="18"/>
        <v>0</v>
      </c>
      <c r="E92" s="25">
        <f t="shared" si="18"/>
        <v>0</v>
      </c>
      <c r="F92" s="25">
        <f t="shared" si="18"/>
        <v>0</v>
      </c>
      <c r="G92" s="25">
        <f t="shared" si="18"/>
        <v>32145.22</v>
      </c>
      <c r="H92" s="25">
        <f t="shared" si="18"/>
        <v>6845.2199999999993</v>
      </c>
      <c r="I92" s="25">
        <f t="shared" si="18"/>
        <v>25300</v>
      </c>
      <c r="J92" s="25">
        <f t="shared" si="18"/>
        <v>0</v>
      </c>
      <c r="K92" s="25">
        <f t="shared" si="18"/>
        <v>32145.22</v>
      </c>
      <c r="L92" s="27"/>
      <c r="M92" s="95">
        <f t="shared" si="11"/>
        <v>0</v>
      </c>
    </row>
    <row r="93" spans="1:13" x14ac:dyDescent="0.2">
      <c r="A93" s="9"/>
      <c r="B93" s="10">
        <v>0</v>
      </c>
      <c r="C93" s="10">
        <v>0</v>
      </c>
      <c r="D93" s="10"/>
      <c r="E93" s="10">
        <v>0</v>
      </c>
      <c r="F93" s="12">
        <v>0</v>
      </c>
      <c r="G93" s="10">
        <v>0</v>
      </c>
      <c r="H93" s="10">
        <v>0</v>
      </c>
      <c r="I93" s="10">
        <v>0</v>
      </c>
      <c r="J93" s="10">
        <v>0</v>
      </c>
      <c r="K93" s="10">
        <f>H93+I93-J93</f>
        <v>0</v>
      </c>
      <c r="L93" s="15"/>
      <c r="M93" s="95">
        <f t="shared" si="11"/>
        <v>0</v>
      </c>
    </row>
    <row r="94" spans="1:13" ht="27" x14ac:dyDescent="0.2">
      <c r="A94" s="24" t="s">
        <v>43</v>
      </c>
      <c r="B94" s="25">
        <f t="shared" ref="B94:K94" si="19">+B92+B88+B84+B76+B66+B56+B43+B35</f>
        <v>68666749.510000005</v>
      </c>
      <c r="C94" s="25">
        <f t="shared" si="19"/>
        <v>10440352.039999999</v>
      </c>
      <c r="D94" s="25">
        <f t="shared" si="19"/>
        <v>1528.85</v>
      </c>
      <c r="E94" s="25">
        <f t="shared" si="19"/>
        <v>5739782.2699999996</v>
      </c>
      <c r="F94" s="25">
        <f t="shared" si="19"/>
        <v>0.55894643960721302</v>
      </c>
      <c r="G94" s="25">
        <f t="shared" si="19"/>
        <v>9264663.4399999995</v>
      </c>
      <c r="H94" s="25">
        <f t="shared" si="19"/>
        <v>9805941.1700000018</v>
      </c>
      <c r="I94" s="25">
        <f t="shared" si="19"/>
        <v>7188475.3799999999</v>
      </c>
      <c r="J94" s="25">
        <f t="shared" si="19"/>
        <v>7730416.129999999</v>
      </c>
      <c r="K94" s="25">
        <f t="shared" si="19"/>
        <v>9264000.4199999999</v>
      </c>
      <c r="L94" s="27"/>
      <c r="M94" s="95">
        <f t="shared" si="11"/>
        <v>-663.01999999955297</v>
      </c>
    </row>
    <row r="95" spans="1:13" x14ac:dyDescent="0.2">
      <c r="A95" s="9"/>
      <c r="B95" s="10">
        <v>0</v>
      </c>
      <c r="C95" s="10">
        <v>0</v>
      </c>
      <c r="D95" s="10"/>
      <c r="E95" s="10">
        <v>0</v>
      </c>
      <c r="F95" s="12">
        <v>0</v>
      </c>
      <c r="G95" s="10">
        <v>0</v>
      </c>
      <c r="H95" s="10">
        <v>0</v>
      </c>
      <c r="I95" s="10">
        <v>0</v>
      </c>
      <c r="J95" s="10">
        <v>0</v>
      </c>
      <c r="K95" s="10">
        <f>H95+I95-J95</f>
        <v>0</v>
      </c>
      <c r="L95" s="15"/>
      <c r="M95" s="95">
        <f t="shared" si="11"/>
        <v>0</v>
      </c>
    </row>
    <row r="96" spans="1:13" x14ac:dyDescent="0.25">
      <c r="A96" s="24" t="s">
        <v>44</v>
      </c>
      <c r="B96" s="25">
        <f t="shared" ref="B96:K96" si="20">+B94+B21</f>
        <v>169654001.59</v>
      </c>
      <c r="C96" s="25">
        <f t="shared" si="20"/>
        <v>84217386.449999988</v>
      </c>
      <c r="D96" s="25">
        <f t="shared" si="20"/>
        <v>187980</v>
      </c>
      <c r="E96" s="25">
        <f t="shared" si="20"/>
        <v>54914730.859999999</v>
      </c>
      <c r="F96" s="25">
        <f t="shared" si="20"/>
        <v>6.7770341977416368</v>
      </c>
      <c r="G96" s="25">
        <f t="shared" si="20"/>
        <v>34053200.409999996</v>
      </c>
      <c r="H96" s="25">
        <f t="shared" si="20"/>
        <v>35320130.68</v>
      </c>
      <c r="I96" s="25">
        <f t="shared" si="20"/>
        <v>9278565.8599999994</v>
      </c>
      <c r="J96" s="25">
        <f t="shared" si="20"/>
        <v>10546159.149999999</v>
      </c>
      <c r="K96" s="25">
        <f t="shared" si="20"/>
        <v>34052537.390000001</v>
      </c>
      <c r="L96" s="27"/>
    </row>
    <row r="97" spans="1:12" x14ac:dyDescent="0.25">
      <c r="A97" s="28"/>
      <c r="B97" s="29"/>
      <c r="C97" s="29"/>
      <c r="D97" s="29"/>
      <c r="E97" s="28"/>
      <c r="F97" s="28"/>
      <c r="G97" s="28"/>
      <c r="H97" s="28"/>
      <c r="I97" s="28"/>
      <c r="J97" s="28"/>
      <c r="K97" s="28"/>
      <c r="L97" s="30"/>
    </row>
    <row r="98" spans="1:12" x14ac:dyDescent="0.25">
      <c r="A98" s="19"/>
      <c r="B98" s="19"/>
      <c r="C98" s="333" t="s">
        <v>45</v>
      </c>
      <c r="D98" s="333"/>
      <c r="E98" s="333"/>
      <c r="F98" s="333"/>
      <c r="G98" s="333"/>
      <c r="H98" s="333"/>
      <c r="I98" s="333"/>
      <c r="J98" s="19"/>
      <c r="K98" s="19"/>
      <c r="L98" s="19"/>
    </row>
    <row r="99" spans="1:12" x14ac:dyDescent="0.25">
      <c r="A99" s="19"/>
      <c r="B99" s="19"/>
      <c r="C99" s="123"/>
      <c r="D99" s="123"/>
      <c r="E99" s="123"/>
      <c r="F99" s="123"/>
      <c r="G99" s="123"/>
      <c r="H99" s="123"/>
      <c r="I99" s="123"/>
      <c r="J99" s="19"/>
      <c r="K99" s="19"/>
      <c r="L99" s="19"/>
    </row>
    <row r="100" spans="1:12" x14ac:dyDescent="0.25">
      <c r="A100" s="19"/>
      <c r="B100" s="325" t="s">
        <v>46</v>
      </c>
      <c r="C100" s="325"/>
      <c r="D100" s="326" t="s">
        <v>47</v>
      </c>
      <c r="E100" s="327"/>
      <c r="F100" s="328"/>
      <c r="G100" s="320" t="s">
        <v>48</v>
      </c>
      <c r="H100" s="320"/>
      <c r="I100" s="125" t="s">
        <v>10</v>
      </c>
      <c r="J100" s="19"/>
      <c r="K100" s="19"/>
      <c r="L100" s="19"/>
    </row>
    <row r="101" spans="1:12" x14ac:dyDescent="0.25">
      <c r="A101" s="19"/>
      <c r="B101" s="329" t="s">
        <v>49</v>
      </c>
      <c r="C101" s="329"/>
      <c r="D101" s="330">
        <v>8135543</v>
      </c>
      <c r="E101" s="331"/>
      <c r="F101" s="332">
        <v>0</v>
      </c>
      <c r="G101" s="330">
        <v>2004169</v>
      </c>
      <c r="H101" s="332"/>
      <c r="I101" s="33">
        <f>G101/D101</f>
        <v>0.2463472935979811</v>
      </c>
      <c r="J101" s="19"/>
      <c r="K101" s="19"/>
      <c r="L101" s="19"/>
    </row>
    <row r="102" spans="1:12" x14ac:dyDescent="0.25">
      <c r="A102" s="19"/>
      <c r="B102" s="320"/>
      <c r="C102" s="320"/>
      <c r="D102" s="321"/>
      <c r="E102" s="322"/>
      <c r="F102" s="323"/>
      <c r="G102" s="324"/>
      <c r="H102" s="324"/>
      <c r="I102" s="126"/>
      <c r="J102" s="19"/>
      <c r="K102" s="19"/>
      <c r="L102" s="19"/>
    </row>
    <row r="103" spans="1:12" x14ac:dyDescent="0.25">
      <c r="A103" s="19"/>
      <c r="B103" s="320"/>
      <c r="C103" s="320"/>
      <c r="D103" s="321"/>
      <c r="E103" s="322"/>
      <c r="F103" s="323"/>
      <c r="G103" s="324"/>
      <c r="H103" s="324"/>
      <c r="I103" s="126"/>
      <c r="J103" s="19"/>
      <c r="K103" s="19"/>
      <c r="L103" s="19"/>
    </row>
    <row r="104" spans="1:12" x14ac:dyDescent="0.25">
      <c r="A104" s="19"/>
      <c r="B104" s="320"/>
      <c r="C104" s="320"/>
      <c r="D104" s="321"/>
      <c r="E104" s="322"/>
      <c r="F104" s="323"/>
      <c r="G104" s="324"/>
      <c r="H104" s="324"/>
      <c r="I104" s="126"/>
      <c r="J104" s="19"/>
      <c r="K104" s="19"/>
      <c r="L104" s="19"/>
    </row>
    <row r="105" spans="1:12" x14ac:dyDescent="0.25">
      <c r="A105" s="35" t="s">
        <v>50</v>
      </c>
      <c r="B105" s="36"/>
      <c r="C105" s="36"/>
      <c r="D105" s="36"/>
      <c r="E105" s="36"/>
      <c r="F105" s="36"/>
      <c r="G105" s="37"/>
      <c r="H105" s="37"/>
      <c r="I105" s="38"/>
      <c r="J105" s="19"/>
      <c r="K105" s="19"/>
      <c r="L105" s="19"/>
    </row>
  </sheetData>
  <mergeCells count="31">
    <mergeCell ref="C98:I98"/>
    <mergeCell ref="A1:L1"/>
    <mergeCell ref="A3:L3"/>
    <mergeCell ref="C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100:C100"/>
    <mergeCell ref="D100:F100"/>
    <mergeCell ref="G100:H100"/>
    <mergeCell ref="B101:C101"/>
    <mergeCell ref="D101:F101"/>
    <mergeCell ref="G101:H101"/>
    <mergeCell ref="B104:C104"/>
    <mergeCell ref="D104:F104"/>
    <mergeCell ref="G104:H104"/>
    <mergeCell ref="B102:C102"/>
    <mergeCell ref="D102:F102"/>
    <mergeCell ref="G102:H102"/>
    <mergeCell ref="B103:C103"/>
    <mergeCell ref="D103:F103"/>
    <mergeCell ref="G103:H10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S73"/>
  <sheetViews>
    <sheetView topLeftCell="A6" workbookViewId="0">
      <pane xSplit="1" ySplit="5" topLeftCell="B11" activePane="bottomRight" state="frozen"/>
      <selection activeCell="A6" sqref="A6"/>
      <selection pane="topRight" activeCell="B6" sqref="B6"/>
      <selection pane="bottomLeft" activeCell="A9" sqref="A9"/>
      <selection pane="bottomRight" activeCell="H12" sqref="H12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3" width="16.5703125" style="1"/>
    <col min="14" max="14" width="24.28515625" style="94" customWidth="1"/>
    <col min="15" max="15" width="16.5703125" style="1" customWidth="1"/>
    <col min="16" max="17" width="16.5703125" style="141"/>
    <col min="18" max="257" width="16.5703125" style="1"/>
    <col min="258" max="258" width="16.5703125" style="1" customWidth="1"/>
    <col min="259" max="262" width="12.7109375" style="1" customWidth="1"/>
    <col min="263" max="263" width="6.5703125" style="1" bestFit="1" customWidth="1"/>
    <col min="264" max="268" width="12.7109375" style="1" customWidth="1"/>
    <col min="269" max="513" width="16.5703125" style="1"/>
    <col min="514" max="514" width="16.5703125" style="1" customWidth="1"/>
    <col min="515" max="518" width="12.7109375" style="1" customWidth="1"/>
    <col min="519" max="519" width="6.5703125" style="1" bestFit="1" customWidth="1"/>
    <col min="520" max="524" width="12.7109375" style="1" customWidth="1"/>
    <col min="525" max="769" width="16.5703125" style="1"/>
    <col min="770" max="770" width="16.5703125" style="1" customWidth="1"/>
    <col min="771" max="774" width="12.7109375" style="1" customWidth="1"/>
    <col min="775" max="775" width="6.5703125" style="1" bestFit="1" customWidth="1"/>
    <col min="776" max="780" width="12.7109375" style="1" customWidth="1"/>
    <col min="781" max="1025" width="16.5703125" style="1"/>
    <col min="1026" max="1026" width="16.5703125" style="1" customWidth="1"/>
    <col min="1027" max="1030" width="12.7109375" style="1" customWidth="1"/>
    <col min="1031" max="1031" width="6.5703125" style="1" bestFit="1" customWidth="1"/>
    <col min="1032" max="1036" width="12.7109375" style="1" customWidth="1"/>
    <col min="1037" max="1281" width="16.5703125" style="1"/>
    <col min="1282" max="1282" width="16.5703125" style="1" customWidth="1"/>
    <col min="1283" max="1286" width="12.7109375" style="1" customWidth="1"/>
    <col min="1287" max="1287" width="6.5703125" style="1" bestFit="1" customWidth="1"/>
    <col min="1288" max="1292" width="12.7109375" style="1" customWidth="1"/>
    <col min="1293" max="1537" width="16.5703125" style="1"/>
    <col min="1538" max="1538" width="16.5703125" style="1" customWidth="1"/>
    <col min="1539" max="1542" width="12.7109375" style="1" customWidth="1"/>
    <col min="1543" max="1543" width="6.5703125" style="1" bestFit="1" customWidth="1"/>
    <col min="1544" max="1548" width="12.7109375" style="1" customWidth="1"/>
    <col min="1549" max="1793" width="16.5703125" style="1"/>
    <col min="1794" max="1794" width="16.5703125" style="1" customWidth="1"/>
    <col min="1795" max="1798" width="12.7109375" style="1" customWidth="1"/>
    <col min="1799" max="1799" width="6.5703125" style="1" bestFit="1" customWidth="1"/>
    <col min="1800" max="1804" width="12.7109375" style="1" customWidth="1"/>
    <col min="1805" max="2049" width="16.5703125" style="1"/>
    <col min="2050" max="2050" width="16.5703125" style="1" customWidth="1"/>
    <col min="2051" max="2054" width="12.7109375" style="1" customWidth="1"/>
    <col min="2055" max="2055" width="6.5703125" style="1" bestFit="1" customWidth="1"/>
    <col min="2056" max="2060" width="12.7109375" style="1" customWidth="1"/>
    <col min="2061" max="2305" width="16.5703125" style="1"/>
    <col min="2306" max="2306" width="16.5703125" style="1" customWidth="1"/>
    <col min="2307" max="2310" width="12.7109375" style="1" customWidth="1"/>
    <col min="2311" max="2311" width="6.5703125" style="1" bestFit="1" customWidth="1"/>
    <col min="2312" max="2316" width="12.7109375" style="1" customWidth="1"/>
    <col min="2317" max="2561" width="16.5703125" style="1"/>
    <col min="2562" max="2562" width="16.5703125" style="1" customWidth="1"/>
    <col min="2563" max="2566" width="12.7109375" style="1" customWidth="1"/>
    <col min="2567" max="2567" width="6.5703125" style="1" bestFit="1" customWidth="1"/>
    <col min="2568" max="2572" width="12.7109375" style="1" customWidth="1"/>
    <col min="2573" max="2817" width="16.5703125" style="1"/>
    <col min="2818" max="2818" width="16.5703125" style="1" customWidth="1"/>
    <col min="2819" max="2822" width="12.7109375" style="1" customWidth="1"/>
    <col min="2823" max="2823" width="6.5703125" style="1" bestFit="1" customWidth="1"/>
    <col min="2824" max="2828" width="12.7109375" style="1" customWidth="1"/>
    <col min="2829" max="3073" width="16.5703125" style="1"/>
    <col min="3074" max="3074" width="16.5703125" style="1" customWidth="1"/>
    <col min="3075" max="3078" width="12.7109375" style="1" customWidth="1"/>
    <col min="3079" max="3079" width="6.5703125" style="1" bestFit="1" customWidth="1"/>
    <col min="3080" max="3084" width="12.7109375" style="1" customWidth="1"/>
    <col min="3085" max="3329" width="16.5703125" style="1"/>
    <col min="3330" max="3330" width="16.5703125" style="1" customWidth="1"/>
    <col min="3331" max="3334" width="12.7109375" style="1" customWidth="1"/>
    <col min="3335" max="3335" width="6.5703125" style="1" bestFit="1" customWidth="1"/>
    <col min="3336" max="3340" width="12.7109375" style="1" customWidth="1"/>
    <col min="3341" max="3585" width="16.5703125" style="1"/>
    <col min="3586" max="3586" width="16.5703125" style="1" customWidth="1"/>
    <col min="3587" max="3590" width="12.7109375" style="1" customWidth="1"/>
    <col min="3591" max="3591" width="6.5703125" style="1" bestFit="1" customWidth="1"/>
    <col min="3592" max="3596" width="12.7109375" style="1" customWidth="1"/>
    <col min="3597" max="3841" width="16.5703125" style="1"/>
    <col min="3842" max="3842" width="16.5703125" style="1" customWidth="1"/>
    <col min="3843" max="3846" width="12.7109375" style="1" customWidth="1"/>
    <col min="3847" max="3847" width="6.5703125" style="1" bestFit="1" customWidth="1"/>
    <col min="3848" max="3852" width="12.7109375" style="1" customWidth="1"/>
    <col min="3853" max="4097" width="16.5703125" style="1"/>
    <col min="4098" max="4098" width="16.5703125" style="1" customWidth="1"/>
    <col min="4099" max="4102" width="12.7109375" style="1" customWidth="1"/>
    <col min="4103" max="4103" width="6.5703125" style="1" bestFit="1" customWidth="1"/>
    <col min="4104" max="4108" width="12.7109375" style="1" customWidth="1"/>
    <col min="4109" max="4353" width="16.5703125" style="1"/>
    <col min="4354" max="4354" width="16.5703125" style="1" customWidth="1"/>
    <col min="4355" max="4358" width="12.7109375" style="1" customWidth="1"/>
    <col min="4359" max="4359" width="6.5703125" style="1" bestFit="1" customWidth="1"/>
    <col min="4360" max="4364" width="12.7109375" style="1" customWidth="1"/>
    <col min="4365" max="4609" width="16.5703125" style="1"/>
    <col min="4610" max="4610" width="16.5703125" style="1" customWidth="1"/>
    <col min="4611" max="4614" width="12.7109375" style="1" customWidth="1"/>
    <col min="4615" max="4615" width="6.5703125" style="1" bestFit="1" customWidth="1"/>
    <col min="4616" max="4620" width="12.7109375" style="1" customWidth="1"/>
    <col min="4621" max="4865" width="16.5703125" style="1"/>
    <col min="4866" max="4866" width="16.5703125" style="1" customWidth="1"/>
    <col min="4867" max="4870" width="12.7109375" style="1" customWidth="1"/>
    <col min="4871" max="4871" width="6.5703125" style="1" bestFit="1" customWidth="1"/>
    <col min="4872" max="4876" width="12.7109375" style="1" customWidth="1"/>
    <col min="4877" max="5121" width="16.5703125" style="1"/>
    <col min="5122" max="5122" width="16.5703125" style="1" customWidth="1"/>
    <col min="5123" max="5126" width="12.7109375" style="1" customWidth="1"/>
    <col min="5127" max="5127" width="6.5703125" style="1" bestFit="1" customWidth="1"/>
    <col min="5128" max="5132" width="12.7109375" style="1" customWidth="1"/>
    <col min="5133" max="5377" width="16.5703125" style="1"/>
    <col min="5378" max="5378" width="16.5703125" style="1" customWidth="1"/>
    <col min="5379" max="5382" width="12.7109375" style="1" customWidth="1"/>
    <col min="5383" max="5383" width="6.5703125" style="1" bestFit="1" customWidth="1"/>
    <col min="5384" max="5388" width="12.7109375" style="1" customWidth="1"/>
    <col min="5389" max="5633" width="16.5703125" style="1"/>
    <col min="5634" max="5634" width="16.5703125" style="1" customWidth="1"/>
    <col min="5635" max="5638" width="12.7109375" style="1" customWidth="1"/>
    <col min="5639" max="5639" width="6.5703125" style="1" bestFit="1" customWidth="1"/>
    <col min="5640" max="5644" width="12.7109375" style="1" customWidth="1"/>
    <col min="5645" max="5889" width="16.5703125" style="1"/>
    <col min="5890" max="5890" width="16.5703125" style="1" customWidth="1"/>
    <col min="5891" max="5894" width="12.7109375" style="1" customWidth="1"/>
    <col min="5895" max="5895" width="6.5703125" style="1" bestFit="1" customWidth="1"/>
    <col min="5896" max="5900" width="12.7109375" style="1" customWidth="1"/>
    <col min="5901" max="6145" width="16.5703125" style="1"/>
    <col min="6146" max="6146" width="16.5703125" style="1" customWidth="1"/>
    <col min="6147" max="6150" width="12.7109375" style="1" customWidth="1"/>
    <col min="6151" max="6151" width="6.5703125" style="1" bestFit="1" customWidth="1"/>
    <col min="6152" max="6156" width="12.7109375" style="1" customWidth="1"/>
    <col min="6157" max="6401" width="16.5703125" style="1"/>
    <col min="6402" max="6402" width="16.5703125" style="1" customWidth="1"/>
    <col min="6403" max="6406" width="12.7109375" style="1" customWidth="1"/>
    <col min="6407" max="6407" width="6.5703125" style="1" bestFit="1" customWidth="1"/>
    <col min="6408" max="6412" width="12.7109375" style="1" customWidth="1"/>
    <col min="6413" max="6657" width="16.5703125" style="1"/>
    <col min="6658" max="6658" width="16.5703125" style="1" customWidth="1"/>
    <col min="6659" max="6662" width="12.7109375" style="1" customWidth="1"/>
    <col min="6663" max="6663" width="6.5703125" style="1" bestFit="1" customWidth="1"/>
    <col min="6664" max="6668" width="12.7109375" style="1" customWidth="1"/>
    <col min="6669" max="6913" width="16.5703125" style="1"/>
    <col min="6914" max="6914" width="16.5703125" style="1" customWidth="1"/>
    <col min="6915" max="6918" width="12.7109375" style="1" customWidth="1"/>
    <col min="6919" max="6919" width="6.5703125" style="1" bestFit="1" customWidth="1"/>
    <col min="6920" max="6924" width="12.7109375" style="1" customWidth="1"/>
    <col min="6925" max="7169" width="16.5703125" style="1"/>
    <col min="7170" max="7170" width="16.5703125" style="1" customWidth="1"/>
    <col min="7171" max="7174" width="12.7109375" style="1" customWidth="1"/>
    <col min="7175" max="7175" width="6.5703125" style="1" bestFit="1" customWidth="1"/>
    <col min="7176" max="7180" width="12.7109375" style="1" customWidth="1"/>
    <col min="7181" max="7425" width="16.5703125" style="1"/>
    <col min="7426" max="7426" width="16.5703125" style="1" customWidth="1"/>
    <col min="7427" max="7430" width="12.7109375" style="1" customWidth="1"/>
    <col min="7431" max="7431" width="6.5703125" style="1" bestFit="1" customWidth="1"/>
    <col min="7432" max="7436" width="12.7109375" style="1" customWidth="1"/>
    <col min="7437" max="7681" width="16.5703125" style="1"/>
    <col min="7682" max="7682" width="16.5703125" style="1" customWidth="1"/>
    <col min="7683" max="7686" width="12.7109375" style="1" customWidth="1"/>
    <col min="7687" max="7687" width="6.5703125" style="1" bestFit="1" customWidth="1"/>
    <col min="7688" max="7692" width="12.7109375" style="1" customWidth="1"/>
    <col min="7693" max="7937" width="16.5703125" style="1"/>
    <col min="7938" max="7938" width="16.5703125" style="1" customWidth="1"/>
    <col min="7939" max="7942" width="12.7109375" style="1" customWidth="1"/>
    <col min="7943" max="7943" width="6.5703125" style="1" bestFit="1" customWidth="1"/>
    <col min="7944" max="7948" width="12.7109375" style="1" customWidth="1"/>
    <col min="7949" max="8193" width="16.5703125" style="1"/>
    <col min="8194" max="8194" width="16.5703125" style="1" customWidth="1"/>
    <col min="8195" max="8198" width="12.7109375" style="1" customWidth="1"/>
    <col min="8199" max="8199" width="6.5703125" style="1" bestFit="1" customWidth="1"/>
    <col min="8200" max="8204" width="12.7109375" style="1" customWidth="1"/>
    <col min="8205" max="8449" width="16.5703125" style="1"/>
    <col min="8450" max="8450" width="16.5703125" style="1" customWidth="1"/>
    <col min="8451" max="8454" width="12.7109375" style="1" customWidth="1"/>
    <col min="8455" max="8455" width="6.5703125" style="1" bestFit="1" customWidth="1"/>
    <col min="8456" max="8460" width="12.7109375" style="1" customWidth="1"/>
    <col min="8461" max="8705" width="16.5703125" style="1"/>
    <col min="8706" max="8706" width="16.5703125" style="1" customWidth="1"/>
    <col min="8707" max="8710" width="12.7109375" style="1" customWidth="1"/>
    <col min="8711" max="8711" width="6.5703125" style="1" bestFit="1" customWidth="1"/>
    <col min="8712" max="8716" width="12.7109375" style="1" customWidth="1"/>
    <col min="8717" max="8961" width="16.5703125" style="1"/>
    <col min="8962" max="8962" width="16.5703125" style="1" customWidth="1"/>
    <col min="8963" max="8966" width="12.7109375" style="1" customWidth="1"/>
    <col min="8967" max="8967" width="6.5703125" style="1" bestFit="1" customWidth="1"/>
    <col min="8968" max="8972" width="12.7109375" style="1" customWidth="1"/>
    <col min="8973" max="9217" width="16.5703125" style="1"/>
    <col min="9218" max="9218" width="16.5703125" style="1" customWidth="1"/>
    <col min="9219" max="9222" width="12.7109375" style="1" customWidth="1"/>
    <col min="9223" max="9223" width="6.5703125" style="1" bestFit="1" customWidth="1"/>
    <col min="9224" max="9228" width="12.7109375" style="1" customWidth="1"/>
    <col min="9229" max="9473" width="16.5703125" style="1"/>
    <col min="9474" max="9474" width="16.5703125" style="1" customWidth="1"/>
    <col min="9475" max="9478" width="12.7109375" style="1" customWidth="1"/>
    <col min="9479" max="9479" width="6.5703125" style="1" bestFit="1" customWidth="1"/>
    <col min="9480" max="9484" width="12.7109375" style="1" customWidth="1"/>
    <col min="9485" max="9729" width="16.5703125" style="1"/>
    <col min="9730" max="9730" width="16.5703125" style="1" customWidth="1"/>
    <col min="9731" max="9734" width="12.7109375" style="1" customWidth="1"/>
    <col min="9735" max="9735" width="6.5703125" style="1" bestFit="1" customWidth="1"/>
    <col min="9736" max="9740" width="12.7109375" style="1" customWidth="1"/>
    <col min="9741" max="9985" width="16.5703125" style="1"/>
    <col min="9986" max="9986" width="16.5703125" style="1" customWidth="1"/>
    <col min="9987" max="9990" width="12.7109375" style="1" customWidth="1"/>
    <col min="9991" max="9991" width="6.5703125" style="1" bestFit="1" customWidth="1"/>
    <col min="9992" max="9996" width="12.7109375" style="1" customWidth="1"/>
    <col min="9997" max="10241" width="16.5703125" style="1"/>
    <col min="10242" max="10242" width="16.5703125" style="1" customWidth="1"/>
    <col min="10243" max="10246" width="12.7109375" style="1" customWidth="1"/>
    <col min="10247" max="10247" width="6.5703125" style="1" bestFit="1" customWidth="1"/>
    <col min="10248" max="10252" width="12.7109375" style="1" customWidth="1"/>
    <col min="10253" max="10497" width="16.5703125" style="1"/>
    <col min="10498" max="10498" width="16.5703125" style="1" customWidth="1"/>
    <col min="10499" max="10502" width="12.7109375" style="1" customWidth="1"/>
    <col min="10503" max="10503" width="6.5703125" style="1" bestFit="1" customWidth="1"/>
    <col min="10504" max="10508" width="12.7109375" style="1" customWidth="1"/>
    <col min="10509" max="10753" width="16.5703125" style="1"/>
    <col min="10754" max="10754" width="16.5703125" style="1" customWidth="1"/>
    <col min="10755" max="10758" width="12.7109375" style="1" customWidth="1"/>
    <col min="10759" max="10759" width="6.5703125" style="1" bestFit="1" customWidth="1"/>
    <col min="10760" max="10764" width="12.7109375" style="1" customWidth="1"/>
    <col min="10765" max="11009" width="16.5703125" style="1"/>
    <col min="11010" max="11010" width="16.5703125" style="1" customWidth="1"/>
    <col min="11011" max="11014" width="12.7109375" style="1" customWidth="1"/>
    <col min="11015" max="11015" width="6.5703125" style="1" bestFit="1" customWidth="1"/>
    <col min="11016" max="11020" width="12.7109375" style="1" customWidth="1"/>
    <col min="11021" max="11265" width="16.5703125" style="1"/>
    <col min="11266" max="11266" width="16.5703125" style="1" customWidth="1"/>
    <col min="11267" max="11270" width="12.7109375" style="1" customWidth="1"/>
    <col min="11271" max="11271" width="6.5703125" style="1" bestFit="1" customWidth="1"/>
    <col min="11272" max="11276" width="12.7109375" style="1" customWidth="1"/>
    <col min="11277" max="11521" width="16.5703125" style="1"/>
    <col min="11522" max="11522" width="16.5703125" style="1" customWidth="1"/>
    <col min="11523" max="11526" width="12.7109375" style="1" customWidth="1"/>
    <col min="11527" max="11527" width="6.5703125" style="1" bestFit="1" customWidth="1"/>
    <col min="11528" max="11532" width="12.7109375" style="1" customWidth="1"/>
    <col min="11533" max="11777" width="16.5703125" style="1"/>
    <col min="11778" max="11778" width="16.5703125" style="1" customWidth="1"/>
    <col min="11779" max="11782" width="12.7109375" style="1" customWidth="1"/>
    <col min="11783" max="11783" width="6.5703125" style="1" bestFit="1" customWidth="1"/>
    <col min="11784" max="11788" width="12.7109375" style="1" customWidth="1"/>
    <col min="11789" max="12033" width="16.5703125" style="1"/>
    <col min="12034" max="12034" width="16.5703125" style="1" customWidth="1"/>
    <col min="12035" max="12038" width="12.7109375" style="1" customWidth="1"/>
    <col min="12039" max="12039" width="6.5703125" style="1" bestFit="1" customWidth="1"/>
    <col min="12040" max="12044" width="12.7109375" style="1" customWidth="1"/>
    <col min="12045" max="12289" width="16.5703125" style="1"/>
    <col min="12290" max="12290" width="16.5703125" style="1" customWidth="1"/>
    <col min="12291" max="12294" width="12.7109375" style="1" customWidth="1"/>
    <col min="12295" max="12295" width="6.5703125" style="1" bestFit="1" customWidth="1"/>
    <col min="12296" max="12300" width="12.7109375" style="1" customWidth="1"/>
    <col min="12301" max="12545" width="16.5703125" style="1"/>
    <col min="12546" max="12546" width="16.5703125" style="1" customWidth="1"/>
    <col min="12547" max="12550" width="12.7109375" style="1" customWidth="1"/>
    <col min="12551" max="12551" width="6.5703125" style="1" bestFit="1" customWidth="1"/>
    <col min="12552" max="12556" width="12.7109375" style="1" customWidth="1"/>
    <col min="12557" max="12801" width="16.5703125" style="1"/>
    <col min="12802" max="12802" width="16.5703125" style="1" customWidth="1"/>
    <col min="12803" max="12806" width="12.7109375" style="1" customWidth="1"/>
    <col min="12807" max="12807" width="6.5703125" style="1" bestFit="1" customWidth="1"/>
    <col min="12808" max="12812" width="12.7109375" style="1" customWidth="1"/>
    <col min="12813" max="13057" width="16.5703125" style="1"/>
    <col min="13058" max="13058" width="16.5703125" style="1" customWidth="1"/>
    <col min="13059" max="13062" width="12.7109375" style="1" customWidth="1"/>
    <col min="13063" max="13063" width="6.5703125" style="1" bestFit="1" customWidth="1"/>
    <col min="13064" max="13068" width="12.7109375" style="1" customWidth="1"/>
    <col min="13069" max="13313" width="16.5703125" style="1"/>
    <col min="13314" max="13314" width="16.5703125" style="1" customWidth="1"/>
    <col min="13315" max="13318" width="12.7109375" style="1" customWidth="1"/>
    <col min="13319" max="13319" width="6.5703125" style="1" bestFit="1" customWidth="1"/>
    <col min="13320" max="13324" width="12.7109375" style="1" customWidth="1"/>
    <col min="13325" max="13569" width="16.5703125" style="1"/>
    <col min="13570" max="13570" width="16.5703125" style="1" customWidth="1"/>
    <col min="13571" max="13574" width="12.7109375" style="1" customWidth="1"/>
    <col min="13575" max="13575" width="6.5703125" style="1" bestFit="1" customWidth="1"/>
    <col min="13576" max="13580" width="12.7109375" style="1" customWidth="1"/>
    <col min="13581" max="13825" width="16.5703125" style="1"/>
    <col min="13826" max="13826" width="16.5703125" style="1" customWidth="1"/>
    <col min="13827" max="13830" width="12.7109375" style="1" customWidth="1"/>
    <col min="13831" max="13831" width="6.5703125" style="1" bestFit="1" customWidth="1"/>
    <col min="13832" max="13836" width="12.7109375" style="1" customWidth="1"/>
    <col min="13837" max="14081" width="16.5703125" style="1"/>
    <col min="14082" max="14082" width="16.5703125" style="1" customWidth="1"/>
    <col min="14083" max="14086" width="12.7109375" style="1" customWidth="1"/>
    <col min="14087" max="14087" width="6.5703125" style="1" bestFit="1" customWidth="1"/>
    <col min="14088" max="14092" width="12.7109375" style="1" customWidth="1"/>
    <col min="14093" max="14337" width="16.5703125" style="1"/>
    <col min="14338" max="14338" width="16.5703125" style="1" customWidth="1"/>
    <col min="14339" max="14342" width="12.7109375" style="1" customWidth="1"/>
    <col min="14343" max="14343" width="6.5703125" style="1" bestFit="1" customWidth="1"/>
    <col min="14344" max="14348" width="12.7109375" style="1" customWidth="1"/>
    <col min="14349" max="14593" width="16.5703125" style="1"/>
    <col min="14594" max="14594" width="16.5703125" style="1" customWidth="1"/>
    <col min="14595" max="14598" width="12.7109375" style="1" customWidth="1"/>
    <col min="14599" max="14599" width="6.5703125" style="1" bestFit="1" customWidth="1"/>
    <col min="14600" max="14604" width="12.7109375" style="1" customWidth="1"/>
    <col min="14605" max="14849" width="16.5703125" style="1"/>
    <col min="14850" max="14850" width="16.5703125" style="1" customWidth="1"/>
    <col min="14851" max="14854" width="12.7109375" style="1" customWidth="1"/>
    <col min="14855" max="14855" width="6.5703125" style="1" bestFit="1" customWidth="1"/>
    <col min="14856" max="14860" width="12.7109375" style="1" customWidth="1"/>
    <col min="14861" max="15105" width="16.5703125" style="1"/>
    <col min="15106" max="15106" width="16.5703125" style="1" customWidth="1"/>
    <col min="15107" max="15110" width="12.7109375" style="1" customWidth="1"/>
    <col min="15111" max="15111" width="6.5703125" style="1" bestFit="1" customWidth="1"/>
    <col min="15112" max="15116" width="12.7109375" style="1" customWidth="1"/>
    <col min="15117" max="15361" width="16.5703125" style="1"/>
    <col min="15362" max="15362" width="16.5703125" style="1" customWidth="1"/>
    <col min="15363" max="15366" width="12.7109375" style="1" customWidth="1"/>
    <col min="15367" max="15367" width="6.5703125" style="1" bestFit="1" customWidth="1"/>
    <col min="15368" max="15372" width="12.7109375" style="1" customWidth="1"/>
    <col min="15373" max="15617" width="16.5703125" style="1"/>
    <col min="15618" max="15618" width="16.5703125" style="1" customWidth="1"/>
    <col min="15619" max="15622" width="12.7109375" style="1" customWidth="1"/>
    <col min="15623" max="15623" width="6.5703125" style="1" bestFit="1" customWidth="1"/>
    <col min="15624" max="15628" width="12.7109375" style="1" customWidth="1"/>
    <col min="15629" max="15873" width="16.5703125" style="1"/>
    <col min="15874" max="15874" width="16.5703125" style="1" customWidth="1"/>
    <col min="15875" max="15878" width="12.7109375" style="1" customWidth="1"/>
    <col min="15879" max="15879" width="6.5703125" style="1" bestFit="1" customWidth="1"/>
    <col min="15880" max="15884" width="12.7109375" style="1" customWidth="1"/>
    <col min="15885" max="16129" width="16.5703125" style="1"/>
    <col min="16130" max="16130" width="16.5703125" style="1" customWidth="1"/>
    <col min="16131" max="16134" width="12.7109375" style="1" customWidth="1"/>
    <col min="16135" max="16135" width="6.5703125" style="1" bestFit="1" customWidth="1"/>
    <col min="16136" max="16140" width="12.7109375" style="1" customWidth="1"/>
    <col min="16141" max="16384" width="16.5703125" style="1"/>
  </cols>
  <sheetData>
    <row r="1" spans="1:17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158"/>
    </row>
    <row r="2" spans="1:17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158"/>
    </row>
    <row r="4" spans="1:17" x14ac:dyDescent="0.25">
      <c r="A4" s="3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58"/>
    </row>
    <row r="5" spans="1:17" x14ac:dyDescent="0.25">
      <c r="A5" s="3" t="s">
        <v>55</v>
      </c>
      <c r="B5" s="5"/>
      <c r="C5" s="5"/>
      <c r="D5" s="5"/>
      <c r="E5" s="6"/>
      <c r="F5" s="6"/>
      <c r="G5" s="149"/>
      <c r="H5" s="150"/>
      <c r="I5" s="149"/>
    </row>
    <row r="6" spans="1:17" x14ac:dyDescent="0.25">
      <c r="A6" s="334" t="s">
        <v>54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7" x14ac:dyDescent="0.25">
      <c r="A7" s="334" t="s">
        <v>59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7" ht="27.75" customHeight="1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</row>
    <row r="9" spans="1:17" s="17" customForma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30"/>
      <c r="N9" s="106"/>
      <c r="P9" s="142"/>
      <c r="Q9" s="142"/>
    </row>
    <row r="10" spans="1:17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M10" s="30"/>
    </row>
    <row r="11" spans="1:17" s="17" customFormat="1" x14ac:dyDescent="0.25">
      <c r="A11" s="139" t="s">
        <v>18</v>
      </c>
      <c r="B11" s="10">
        <v>9668787.5</v>
      </c>
      <c r="C11" s="10">
        <f>+B11</f>
        <v>9668787.5</v>
      </c>
      <c r="D11" s="11">
        <v>0</v>
      </c>
      <c r="E11" s="10">
        <v>8808992.1099999994</v>
      </c>
      <c r="F11" s="12">
        <f>+E11/C11</f>
        <v>0.91107515911379777</v>
      </c>
      <c r="G11" s="10">
        <f t="shared" ref="G11:G25" si="0">+C11+D11-E11</f>
        <v>859795.3900000006</v>
      </c>
      <c r="H11" s="11">
        <f>384.17+701529.49</f>
        <v>701913.66</v>
      </c>
      <c r="I11" s="14">
        <f>201777.1+49054.32+10000+17400</f>
        <v>278231.42000000004</v>
      </c>
      <c r="J11" s="14">
        <f>42293+3275.91+3277.52+71503.26</f>
        <v>120349.69</v>
      </c>
      <c r="K11" s="14">
        <f>H11+I11-J11</f>
        <v>859795.39000000013</v>
      </c>
      <c r="L11" s="15">
        <f>+F11</f>
        <v>0.91107515911379777</v>
      </c>
      <c r="M11" s="163"/>
      <c r="N11" s="62">
        <f>+K11-G11</f>
        <v>0</v>
      </c>
      <c r="O11" s="114">
        <f>+N11+N12</f>
        <v>0</v>
      </c>
      <c r="P11" s="153"/>
      <c r="Q11" s="142"/>
    </row>
    <row r="12" spans="1:17" x14ac:dyDescent="0.2">
      <c r="A12" s="139" t="s">
        <v>20</v>
      </c>
      <c r="B12" s="10">
        <v>27138333.23</v>
      </c>
      <c r="C12" s="10">
        <f t="shared" ref="C12:C22" si="1">+B12</f>
        <v>27138333.23</v>
      </c>
      <c r="D12" s="11">
        <v>0</v>
      </c>
      <c r="E12" s="10">
        <v>26415966.23</v>
      </c>
      <c r="F12" s="12">
        <f t="shared" ref="F12:F17" si="2">+E12/C12</f>
        <v>0.97338204251978666</v>
      </c>
      <c r="G12" s="10">
        <f t="shared" si="0"/>
        <v>722367</v>
      </c>
      <c r="H12" s="13">
        <v>2108137.33</v>
      </c>
      <c r="I12" s="14">
        <f>181846+1000</f>
        <v>182846</v>
      </c>
      <c r="J12" s="14">
        <f>1307677+16708.93+21550.06+222680.34</f>
        <v>1568616.33</v>
      </c>
      <c r="K12" s="14">
        <f t="shared" ref="K12:K20" si="3">H12+I12-J12</f>
        <v>722367</v>
      </c>
      <c r="L12" s="15">
        <f t="shared" ref="L12:L25" si="4">+F12</f>
        <v>0.97338204251978666</v>
      </c>
      <c r="M12" s="163"/>
      <c r="N12" s="62">
        <f>+K12-G12</f>
        <v>0</v>
      </c>
      <c r="O12" s="115"/>
      <c r="P12" s="151"/>
    </row>
    <row r="13" spans="1:17" x14ac:dyDescent="0.2">
      <c r="A13" s="139" t="s">
        <v>21</v>
      </c>
      <c r="B13" s="10">
        <v>321506.03999999998</v>
      </c>
      <c r="C13" s="10">
        <f t="shared" si="1"/>
        <v>321506.03999999998</v>
      </c>
      <c r="D13" s="11">
        <v>0</v>
      </c>
      <c r="E13" s="11">
        <v>280892.37</v>
      </c>
      <c r="F13" s="12">
        <f t="shared" si="2"/>
        <v>0.87367680557416594</v>
      </c>
      <c r="G13" s="10">
        <f t="shared" si="0"/>
        <v>40613.669999999984</v>
      </c>
      <c r="H13" s="13">
        <v>40613.67</v>
      </c>
      <c r="I13" s="14">
        <v>0</v>
      </c>
      <c r="J13" s="14">
        <v>0</v>
      </c>
      <c r="K13" s="14">
        <f t="shared" si="3"/>
        <v>40613.67</v>
      </c>
      <c r="L13" s="15">
        <f t="shared" si="4"/>
        <v>0.87367680557416594</v>
      </c>
      <c r="M13" s="163"/>
      <c r="N13" s="62">
        <f>+K13-G13</f>
        <v>0</v>
      </c>
      <c r="O13" s="116"/>
    </row>
    <row r="14" spans="1:17" x14ac:dyDescent="0.2">
      <c r="A14" s="139" t="s">
        <v>22</v>
      </c>
      <c r="B14" s="10">
        <v>570803.89</v>
      </c>
      <c r="C14" s="10">
        <f t="shared" si="1"/>
        <v>570803.89</v>
      </c>
      <c r="D14" s="11">
        <v>0</v>
      </c>
      <c r="E14" s="11">
        <v>491970.23</v>
      </c>
      <c r="F14" s="12">
        <f t="shared" si="2"/>
        <v>0.86189011430878648</v>
      </c>
      <c r="G14" s="10">
        <f t="shared" si="0"/>
        <v>78833.660000000033</v>
      </c>
      <c r="H14" s="13">
        <v>78833.66</v>
      </c>
      <c r="I14" s="14">
        <v>0</v>
      </c>
      <c r="J14" s="14">
        <v>0</v>
      </c>
      <c r="K14" s="14">
        <f t="shared" si="3"/>
        <v>78833.66</v>
      </c>
      <c r="L14" s="15">
        <f t="shared" si="4"/>
        <v>0.86189011430878648</v>
      </c>
      <c r="M14" s="163"/>
      <c r="N14" s="71">
        <f>+K14-G14</f>
        <v>0</v>
      </c>
    </row>
    <row r="15" spans="1:17" x14ac:dyDescent="0.2">
      <c r="A15" s="139" t="s">
        <v>23</v>
      </c>
      <c r="B15" s="10">
        <v>1307693.44</v>
      </c>
      <c r="C15" s="10">
        <f t="shared" si="1"/>
        <v>1307693.44</v>
      </c>
      <c r="D15" s="11">
        <v>0</v>
      </c>
      <c r="E15" s="11">
        <v>1273287.1499999999</v>
      </c>
      <c r="F15" s="12">
        <f t="shared" si="2"/>
        <v>0.9736893304290033</v>
      </c>
      <c r="G15" s="10">
        <f t="shared" si="0"/>
        <v>34406.290000000037</v>
      </c>
      <c r="H15" s="13">
        <v>34406.29</v>
      </c>
      <c r="I15" s="14">
        <v>0</v>
      </c>
      <c r="J15" s="14">
        <v>0</v>
      </c>
      <c r="K15" s="14">
        <f t="shared" si="3"/>
        <v>34406.29</v>
      </c>
      <c r="L15" s="15">
        <f t="shared" si="4"/>
        <v>0.9736893304290033</v>
      </c>
      <c r="M15" s="163"/>
      <c r="N15" s="62">
        <f t="shared" ref="N15:N20" si="5">+K15-G15</f>
        <v>0</v>
      </c>
      <c r="O15" s="119"/>
    </row>
    <row r="16" spans="1:17" x14ac:dyDescent="0.2">
      <c r="A16" s="139" t="s">
        <v>24</v>
      </c>
      <c r="B16" s="10">
        <v>14234360.859999999</v>
      </c>
      <c r="C16" s="10">
        <f t="shared" si="1"/>
        <v>14234360.859999999</v>
      </c>
      <c r="D16" s="11">
        <v>0</v>
      </c>
      <c r="E16" s="10">
        <v>14197791.76</v>
      </c>
      <c r="F16" s="12">
        <f t="shared" si="2"/>
        <v>0.99743092785410814</v>
      </c>
      <c r="G16" s="10">
        <f t="shared" si="0"/>
        <v>36569.099999999627</v>
      </c>
      <c r="H16" s="13">
        <v>500343.1</v>
      </c>
      <c r="I16" s="14">
        <f>15553</f>
        <v>15553</v>
      </c>
      <c r="J16" s="14">
        <f>280823+198504</f>
        <v>479327</v>
      </c>
      <c r="K16" s="14">
        <f t="shared" si="3"/>
        <v>36569.099999999977</v>
      </c>
      <c r="L16" s="15">
        <f t="shared" si="4"/>
        <v>0.99743092785410814</v>
      </c>
      <c r="M16" s="163"/>
      <c r="N16" s="62">
        <f t="shared" si="5"/>
        <v>3.4924596548080444E-10</v>
      </c>
      <c r="O16" s="116"/>
      <c r="P16" s="151">
        <f>+N11-N22</f>
        <v>4.6566128730773926E-10</v>
      </c>
    </row>
    <row r="17" spans="1:19" x14ac:dyDescent="0.2">
      <c r="A17" s="139" t="s">
        <v>25</v>
      </c>
      <c r="B17" s="10">
        <v>658261.61</v>
      </c>
      <c r="C17" s="10">
        <f t="shared" si="1"/>
        <v>658261.61</v>
      </c>
      <c r="D17" s="11">
        <v>0</v>
      </c>
      <c r="E17" s="10">
        <v>367499.68</v>
      </c>
      <c r="F17" s="12">
        <f t="shared" si="2"/>
        <v>0.55828818575641981</v>
      </c>
      <c r="G17" s="10">
        <f t="shared" si="0"/>
        <v>290761.93</v>
      </c>
      <c r="H17" s="13">
        <v>290761.93</v>
      </c>
      <c r="I17" s="14">
        <v>0</v>
      </c>
      <c r="J17" s="14">
        <v>0</v>
      </c>
      <c r="K17" s="14">
        <f t="shared" si="3"/>
        <v>290761.93</v>
      </c>
      <c r="L17" s="15">
        <f t="shared" si="4"/>
        <v>0.55828818575641981</v>
      </c>
      <c r="M17" s="163"/>
      <c r="N17" s="62">
        <f t="shared" si="5"/>
        <v>0</v>
      </c>
      <c r="O17" s="119"/>
    </row>
    <row r="18" spans="1:19" x14ac:dyDescent="0.2">
      <c r="A18" s="139" t="s">
        <v>53</v>
      </c>
      <c r="B18" s="10">
        <v>158979.12</v>
      </c>
      <c r="C18" s="10">
        <f t="shared" si="1"/>
        <v>158979.12</v>
      </c>
      <c r="D18" s="11">
        <v>0</v>
      </c>
      <c r="E18" s="11">
        <v>0</v>
      </c>
      <c r="F18" s="12">
        <v>0</v>
      </c>
      <c r="G18" s="14">
        <f t="shared" si="0"/>
        <v>158979.12</v>
      </c>
      <c r="H18" s="11">
        <v>168979.12</v>
      </c>
      <c r="I18" s="14">
        <v>0</v>
      </c>
      <c r="J18" s="14">
        <v>10000</v>
      </c>
      <c r="K18" s="14">
        <f t="shared" si="3"/>
        <v>158979.12</v>
      </c>
      <c r="L18" s="15">
        <f t="shared" si="4"/>
        <v>0</v>
      </c>
      <c r="M18" s="163"/>
      <c r="N18" s="62">
        <f t="shared" si="5"/>
        <v>0</v>
      </c>
      <c r="O18" s="116"/>
    </row>
    <row r="19" spans="1:19" x14ac:dyDescent="0.2">
      <c r="A19" s="139" t="s">
        <v>27</v>
      </c>
      <c r="B19" s="10"/>
      <c r="C19" s="10">
        <f t="shared" si="1"/>
        <v>0</v>
      </c>
      <c r="D19" s="11">
        <v>0</v>
      </c>
      <c r="E19" s="11">
        <v>0</v>
      </c>
      <c r="F19" s="12">
        <v>0</v>
      </c>
      <c r="G19" s="14">
        <f t="shared" si="0"/>
        <v>0</v>
      </c>
      <c r="H19" s="11">
        <v>0</v>
      </c>
      <c r="I19" s="14">
        <v>0</v>
      </c>
      <c r="J19" s="14">
        <v>0</v>
      </c>
      <c r="K19" s="14">
        <f t="shared" si="3"/>
        <v>0</v>
      </c>
      <c r="L19" s="15">
        <f t="shared" si="4"/>
        <v>0</v>
      </c>
      <c r="M19" s="163"/>
      <c r="N19" s="62">
        <f t="shared" si="5"/>
        <v>0</v>
      </c>
      <c r="O19" s="120"/>
    </row>
    <row r="20" spans="1:19" x14ac:dyDescent="0.2">
      <c r="A20" s="139" t="s">
        <v>28</v>
      </c>
      <c r="B20" s="10">
        <v>47798.07</v>
      </c>
      <c r="C20" s="10">
        <f t="shared" si="1"/>
        <v>47798.07</v>
      </c>
      <c r="D20" s="11">
        <v>0</v>
      </c>
      <c r="E20" s="11">
        <v>23516.14</v>
      </c>
      <c r="F20" s="12">
        <v>0</v>
      </c>
      <c r="G20" s="14">
        <f t="shared" si="0"/>
        <v>24281.93</v>
      </c>
      <c r="H20" s="11">
        <v>24281.93</v>
      </c>
      <c r="I20" s="14">
        <v>0</v>
      </c>
      <c r="J20" s="14">
        <v>0</v>
      </c>
      <c r="K20" s="14">
        <f t="shared" si="3"/>
        <v>24281.93</v>
      </c>
      <c r="L20" s="15">
        <f t="shared" si="4"/>
        <v>0</v>
      </c>
      <c r="M20" s="163"/>
      <c r="N20" s="62">
        <f t="shared" si="5"/>
        <v>0</v>
      </c>
      <c r="O20" s="152"/>
    </row>
    <row r="21" spans="1:19" x14ac:dyDescent="0.2">
      <c r="A21" s="139" t="s">
        <v>29</v>
      </c>
      <c r="B21" s="10">
        <v>27972730</v>
      </c>
      <c r="C21" s="10">
        <f t="shared" si="1"/>
        <v>27972730</v>
      </c>
      <c r="D21" s="11">
        <v>186451.15</v>
      </c>
      <c r="E21" s="11">
        <v>27809818.059999999</v>
      </c>
      <c r="F21" s="12">
        <f>+E21/C21</f>
        <v>0.99417604431172779</v>
      </c>
      <c r="G21" s="10">
        <f t="shared" si="0"/>
        <v>349363.08999999985</v>
      </c>
      <c r="H21" s="13">
        <v>722517.26</v>
      </c>
      <c r="I21" s="14">
        <v>163200.16</v>
      </c>
      <c r="J21" s="14">
        <f>323339.08+164255.75+48759.5</f>
        <v>536354.33000000007</v>
      </c>
      <c r="K21" s="14">
        <f>H21+I21-J21</f>
        <v>349363.08999999997</v>
      </c>
      <c r="L21" s="15">
        <f t="shared" si="4"/>
        <v>0.99417604431172779</v>
      </c>
      <c r="M21" s="163"/>
      <c r="N21" s="71">
        <f t="shared" ref="N21:N26" si="6">+K21-G21</f>
        <v>0</v>
      </c>
      <c r="O21" s="18"/>
    </row>
    <row r="22" spans="1:19" x14ac:dyDescent="0.2">
      <c r="A22" s="139" t="s">
        <v>30</v>
      </c>
      <c r="B22" s="10">
        <v>21170988.52</v>
      </c>
      <c r="C22" s="10">
        <f t="shared" si="1"/>
        <v>21170988.52</v>
      </c>
      <c r="D22" s="11">
        <v>0</v>
      </c>
      <c r="E22" s="10">
        <v>21163370.789999999</v>
      </c>
      <c r="F22" s="12">
        <f>+E22/C22</f>
        <v>0.9996401807127332</v>
      </c>
      <c r="G22" s="10">
        <f t="shared" si="0"/>
        <v>7617.730000000447</v>
      </c>
      <c r="H22" s="13">
        <v>139200.95999999999</v>
      </c>
      <c r="I22" s="14">
        <f>63664.06+25043.71</f>
        <v>88707.76999999999</v>
      </c>
      <c r="J22" s="14">
        <f>170257+6000+44034</f>
        <v>220291</v>
      </c>
      <c r="K22" s="14">
        <f>H22+I22-J22</f>
        <v>7617.7299999999814</v>
      </c>
      <c r="L22" s="15">
        <f t="shared" si="4"/>
        <v>0.9996401807127332</v>
      </c>
      <c r="M22" s="163"/>
      <c r="N22" s="107">
        <f t="shared" si="6"/>
        <v>-4.6566128730773926E-10</v>
      </c>
      <c r="O22" s="157"/>
      <c r="R22" s="141"/>
      <c r="S22" s="144"/>
    </row>
    <row r="23" spans="1:19" ht="27" x14ac:dyDescent="0.2">
      <c r="A23" s="139" t="s">
        <v>56</v>
      </c>
      <c r="B23" s="10">
        <v>1500000</v>
      </c>
      <c r="C23" s="10">
        <v>1500000</v>
      </c>
      <c r="D23" s="11">
        <v>0</v>
      </c>
      <c r="E23" s="10">
        <v>1499955.2</v>
      </c>
      <c r="F23" s="12">
        <f>+E23/C23</f>
        <v>0.99997013333333329</v>
      </c>
      <c r="G23" s="10">
        <f t="shared" si="0"/>
        <v>44.800000000046566</v>
      </c>
      <c r="H23" s="13">
        <v>5044.8</v>
      </c>
      <c r="I23" s="14">
        <v>0</v>
      </c>
      <c r="J23" s="14">
        <v>5000</v>
      </c>
      <c r="K23" s="14">
        <f>H23+I23-J23</f>
        <v>44.800000000000182</v>
      </c>
      <c r="L23" s="15">
        <f t="shared" si="4"/>
        <v>0.99997013333333329</v>
      </c>
      <c r="M23" s="163"/>
      <c r="N23" s="107">
        <f t="shared" si="6"/>
        <v>-4.638422979041934E-11</v>
      </c>
      <c r="O23" s="157"/>
      <c r="R23" s="141"/>
      <c r="S23" s="144"/>
    </row>
    <row r="24" spans="1:19" x14ac:dyDescent="0.2">
      <c r="A24" s="139" t="s">
        <v>58</v>
      </c>
      <c r="B24" s="10">
        <v>8800000</v>
      </c>
      <c r="C24" s="10">
        <f>+B24</f>
        <v>8800000</v>
      </c>
      <c r="D24" s="11">
        <v>0</v>
      </c>
      <c r="E24" s="10">
        <v>8793327.9700000007</v>
      </c>
      <c r="F24" s="12">
        <f>+E24/C24</f>
        <v>0.99924181477272733</v>
      </c>
      <c r="G24" s="10">
        <f t="shared" si="0"/>
        <v>6672.0299999993294</v>
      </c>
      <c r="H24" s="13">
        <v>136749.53</v>
      </c>
      <c r="I24" s="14">
        <v>0</v>
      </c>
      <c r="J24" s="14">
        <f>75804.55+37902.27+11370.68+5000</f>
        <v>130077.5</v>
      </c>
      <c r="K24" s="14">
        <f>H24+I24-J24</f>
        <v>6672.0299999999988</v>
      </c>
      <c r="L24" s="15">
        <f t="shared" si="4"/>
        <v>0.99924181477272733</v>
      </c>
      <c r="M24" s="163"/>
      <c r="N24" s="107">
        <f t="shared" si="6"/>
        <v>6.6938810050487518E-10</v>
      </c>
      <c r="O24" s="157"/>
      <c r="R24" s="141"/>
      <c r="S24" s="144"/>
    </row>
    <row r="25" spans="1:19" x14ac:dyDescent="0.2">
      <c r="A25" s="139" t="s">
        <v>57</v>
      </c>
      <c r="B25" s="10">
        <v>3362600</v>
      </c>
      <c r="C25" s="10">
        <f>+B25</f>
        <v>3362600</v>
      </c>
      <c r="D25" s="11">
        <v>0</v>
      </c>
      <c r="E25" s="10">
        <f>1976789.36+1384600</f>
        <v>3361389.3600000003</v>
      </c>
      <c r="F25" s="12">
        <f>+E25/C25</f>
        <v>0.99963996907155184</v>
      </c>
      <c r="G25" s="10">
        <f t="shared" si="0"/>
        <v>1210.6399999996647</v>
      </c>
      <c r="H25" s="13">
        <v>54023.49</v>
      </c>
      <c r="I25" s="14">
        <v>0</v>
      </c>
      <c r="J25" s="14">
        <f>28977.48+14488.74+4346.63+5000</f>
        <v>52812.85</v>
      </c>
      <c r="K25" s="14">
        <f>H25+I25-J25</f>
        <v>1210.6399999999994</v>
      </c>
      <c r="L25" s="15">
        <f t="shared" si="4"/>
        <v>0.99963996907155184</v>
      </c>
      <c r="M25" s="163"/>
      <c r="N25" s="107">
        <f t="shared" si="6"/>
        <v>3.3469405025243759E-10</v>
      </c>
      <c r="O25" s="157"/>
      <c r="R25" s="141"/>
      <c r="S25" s="144"/>
    </row>
    <row r="26" spans="1:19" s="5" customFormat="1" x14ac:dyDescent="0.2">
      <c r="A26" s="20" t="s">
        <v>51</v>
      </c>
      <c r="B26" s="21">
        <f>SUM(B11:B22)</f>
        <v>103250242.27999999</v>
      </c>
      <c r="C26" s="21">
        <f>SUM(C11:C22)</f>
        <v>103250242.27999999</v>
      </c>
      <c r="D26" s="21">
        <f>SUM(D11:D22)</f>
        <v>186451.15</v>
      </c>
      <c r="E26" s="21">
        <f>SUM(E11:E22)</f>
        <v>100833104.51999998</v>
      </c>
      <c r="F26" s="21">
        <f t="shared" ref="F26:K26" si="7">SUM(F11:F22)</f>
        <v>8.1432487905805289</v>
      </c>
      <c r="G26" s="21">
        <f t="shared" si="7"/>
        <v>2603588.9100000006</v>
      </c>
      <c r="H26" s="21">
        <f t="shared" si="7"/>
        <v>4809988.9100000011</v>
      </c>
      <c r="I26" s="21">
        <f t="shared" si="7"/>
        <v>728538.35000000009</v>
      </c>
      <c r="J26" s="21">
        <f t="shared" si="7"/>
        <v>2934938.35</v>
      </c>
      <c r="K26" s="21">
        <f t="shared" si="7"/>
        <v>2603588.9099999997</v>
      </c>
      <c r="L26" s="23"/>
      <c r="M26" s="164"/>
      <c r="N26" s="62">
        <f t="shared" si="6"/>
        <v>0</v>
      </c>
      <c r="P26" s="143"/>
      <c r="Q26" s="143"/>
    </row>
    <row r="27" spans="1:19" s="17" customFormat="1" x14ac:dyDescent="0.25">
      <c r="A27" s="139" t="s">
        <v>18</v>
      </c>
      <c r="B27" s="10">
        <f>+C27</f>
        <v>974278.6400000006</v>
      </c>
      <c r="C27" s="10">
        <f>9497181.34-8522902.7</f>
        <v>974278.6400000006</v>
      </c>
      <c r="D27" s="11">
        <v>0</v>
      </c>
      <c r="E27" s="10">
        <v>416991</v>
      </c>
      <c r="F27" s="12">
        <f>+E27/C27</f>
        <v>0.42799973527080482</v>
      </c>
      <c r="G27" s="10">
        <f>+C27+D27-E27</f>
        <v>557287.6400000006</v>
      </c>
      <c r="H27" s="13">
        <f>364262.95-0.47</f>
        <v>364262.48000000004</v>
      </c>
      <c r="I27" s="14">
        <f>22013.2+172259.48</f>
        <v>194272.68000000002</v>
      </c>
      <c r="J27" s="14">
        <f>-4302.52+5550.04</f>
        <v>1247.5199999999995</v>
      </c>
      <c r="K27" s="14">
        <f>H27+I27-J27</f>
        <v>557287.64</v>
      </c>
      <c r="L27" s="15">
        <f>+F27</f>
        <v>0.42799973527080482</v>
      </c>
      <c r="M27" s="163"/>
      <c r="N27" s="155">
        <f t="shared" ref="N27:N36" si="8">+K27-G27</f>
        <v>0</v>
      </c>
      <c r="O27" s="154"/>
      <c r="P27" s="142"/>
      <c r="Q27" s="142"/>
    </row>
    <row r="28" spans="1:19" x14ac:dyDescent="0.2">
      <c r="A28" s="139" t="s">
        <v>20</v>
      </c>
      <c r="B28" s="10">
        <f t="shared" ref="B28:B37" si="9">+C28</f>
        <v>981063.53999999911</v>
      </c>
      <c r="C28" s="10">
        <f>28461059.77-27479996.23</f>
        <v>981063.53999999911</v>
      </c>
      <c r="D28" s="11">
        <v>0</v>
      </c>
      <c r="E28" s="10">
        <v>174602.54</v>
      </c>
      <c r="F28" s="12">
        <f t="shared" ref="F28:F37" si="10">+E28/C28</f>
        <v>0.17797271316392022</v>
      </c>
      <c r="G28" s="10">
        <f>+C28+D28-E28</f>
        <v>806460.99999999907</v>
      </c>
      <c r="H28" s="13">
        <v>1795340.56</v>
      </c>
      <c r="I28" s="14">
        <v>1162</v>
      </c>
      <c r="J28" s="14">
        <f>272555.03+160187.53+557299</f>
        <v>990041.56</v>
      </c>
      <c r="K28" s="14">
        <f t="shared" ref="K28:K62" si="11">H28+I28-J28</f>
        <v>806461</v>
      </c>
      <c r="L28" s="15">
        <f t="shared" ref="L28:L37" si="12">+F28</f>
        <v>0.17797271316392022</v>
      </c>
      <c r="M28" s="163"/>
      <c r="N28" s="62">
        <f t="shared" si="8"/>
        <v>9.3132257461547852E-10</v>
      </c>
      <c r="O28" s="156"/>
    </row>
    <row r="29" spans="1:19" x14ac:dyDescent="0.2">
      <c r="A29" s="139" t="s">
        <v>21</v>
      </c>
      <c r="B29" s="10">
        <f t="shared" si="9"/>
        <v>185683.99</v>
      </c>
      <c r="C29" s="10">
        <f>266576.99-80893</f>
        <v>185683.99</v>
      </c>
      <c r="D29" s="11">
        <v>0</v>
      </c>
      <c r="E29" s="10">
        <v>185218.16</v>
      </c>
      <c r="F29" s="12">
        <f t="shared" si="10"/>
        <v>0.99749127536520521</v>
      </c>
      <c r="G29" s="10">
        <f>+C29+D29-E29</f>
        <v>465.82999999998719</v>
      </c>
      <c r="H29" s="13">
        <v>465.83</v>
      </c>
      <c r="I29" s="14">
        <v>0</v>
      </c>
      <c r="J29" s="14">
        <v>0</v>
      </c>
      <c r="K29" s="14">
        <f t="shared" si="11"/>
        <v>465.83</v>
      </c>
      <c r="L29" s="15">
        <f t="shared" si="12"/>
        <v>0.99749127536520521</v>
      </c>
      <c r="M29" s="163"/>
      <c r="N29" s="155">
        <f t="shared" si="8"/>
        <v>1.2789769243681803E-11</v>
      </c>
      <c r="O29" s="119"/>
    </row>
    <row r="30" spans="1:19" x14ac:dyDescent="0.2">
      <c r="A30" s="139" t="s">
        <v>22</v>
      </c>
      <c r="B30" s="10">
        <f t="shared" si="9"/>
        <v>173435.65999999997</v>
      </c>
      <c r="C30" s="10">
        <f>375412.66-201977</f>
        <v>173435.65999999997</v>
      </c>
      <c r="D30" s="10">
        <v>149.51</v>
      </c>
      <c r="E30" s="10">
        <v>167368.20000000001</v>
      </c>
      <c r="F30" s="12">
        <f t="shared" si="10"/>
        <v>0.96501607570207903</v>
      </c>
      <c r="G30" s="10">
        <f t="shared" ref="G30:G35" si="13">+C30+D30-E30</f>
        <v>6216.9699999999721</v>
      </c>
      <c r="H30" s="13">
        <v>6216.97</v>
      </c>
      <c r="I30" s="14">
        <v>0</v>
      </c>
      <c r="J30" s="14">
        <v>0</v>
      </c>
      <c r="K30" s="14">
        <f t="shared" si="11"/>
        <v>6216.97</v>
      </c>
      <c r="L30" s="15">
        <f t="shared" si="12"/>
        <v>0.96501607570207903</v>
      </c>
      <c r="M30" s="163"/>
      <c r="N30" s="62">
        <f t="shared" si="8"/>
        <v>2.8194335754960775E-11</v>
      </c>
      <c r="O30" s="119"/>
    </row>
    <row r="31" spans="1:19" x14ac:dyDescent="0.2">
      <c r="A31" s="139" t="s">
        <v>23</v>
      </c>
      <c r="B31" s="10">
        <f t="shared" si="9"/>
        <v>514053.77999999991</v>
      </c>
      <c r="C31" s="10">
        <f>1302246.39-788192.61</f>
        <v>514053.77999999991</v>
      </c>
      <c r="D31" s="10">
        <v>408.58</v>
      </c>
      <c r="E31" s="10">
        <v>497037.73</v>
      </c>
      <c r="F31" s="12">
        <f t="shared" si="10"/>
        <v>0.96689830779962371</v>
      </c>
      <c r="G31" s="10">
        <f t="shared" si="13"/>
        <v>17424.629999999946</v>
      </c>
      <c r="H31" s="13">
        <v>17424.63</v>
      </c>
      <c r="I31" s="14">
        <v>0</v>
      </c>
      <c r="J31" s="14">
        <v>0</v>
      </c>
      <c r="K31" s="14">
        <f t="shared" si="11"/>
        <v>17424.63</v>
      </c>
      <c r="L31" s="15">
        <f t="shared" si="12"/>
        <v>0.96689830779962371</v>
      </c>
      <c r="M31" s="163"/>
      <c r="N31" s="155">
        <f t="shared" si="8"/>
        <v>5.4569682106375694E-11</v>
      </c>
      <c r="O31" s="119"/>
    </row>
    <row r="32" spans="1:19" x14ac:dyDescent="0.2">
      <c r="A32" s="139" t="s">
        <v>24</v>
      </c>
      <c r="B32" s="10">
        <f t="shared" si="9"/>
        <v>423848.1799999997</v>
      </c>
      <c r="C32" s="10">
        <f>13636634.35-13212786.17</f>
        <v>423848.1799999997</v>
      </c>
      <c r="D32" s="11">
        <v>-459</v>
      </c>
      <c r="E32" s="10">
        <v>11601.63</v>
      </c>
      <c r="F32" s="12">
        <f t="shared" si="10"/>
        <v>2.7372135937920053E-2</v>
      </c>
      <c r="G32" s="10">
        <f>+C32+D32-E32</f>
        <v>411787.5499999997</v>
      </c>
      <c r="H32" s="13">
        <v>37530.339999999997</v>
      </c>
      <c r="I32" s="14">
        <v>456237</v>
      </c>
      <c r="J32" s="14">
        <f>52394.42+7312.79+22272.58</f>
        <v>81979.790000000008</v>
      </c>
      <c r="K32" s="14">
        <f t="shared" si="11"/>
        <v>411787.54999999993</v>
      </c>
      <c r="L32" s="15">
        <f t="shared" si="12"/>
        <v>2.7372135937920053E-2</v>
      </c>
      <c r="M32" s="163"/>
      <c r="N32" s="62">
        <f t="shared" si="8"/>
        <v>0</v>
      </c>
      <c r="O32" s="119"/>
    </row>
    <row r="33" spans="1:17" x14ac:dyDescent="0.2">
      <c r="A33" s="139" t="s">
        <v>25</v>
      </c>
      <c r="B33" s="10">
        <f t="shared" si="9"/>
        <v>326040.06000000006</v>
      </c>
      <c r="C33" s="10">
        <f>868753.03-542712.97</f>
        <v>326040.06000000006</v>
      </c>
      <c r="D33" s="10">
        <v>131.31</v>
      </c>
      <c r="E33" s="10">
        <v>320888.67</v>
      </c>
      <c r="F33" s="12">
        <f t="shared" si="10"/>
        <v>0.98420013172614407</v>
      </c>
      <c r="G33" s="10">
        <f t="shared" si="13"/>
        <v>5282.7000000000698</v>
      </c>
      <c r="H33" s="13">
        <v>5282.7</v>
      </c>
      <c r="I33" s="14">
        <v>0</v>
      </c>
      <c r="J33" s="14">
        <v>0</v>
      </c>
      <c r="K33" s="14">
        <f t="shared" si="11"/>
        <v>5282.7</v>
      </c>
      <c r="L33" s="15">
        <f t="shared" si="12"/>
        <v>0.98420013172614407</v>
      </c>
      <c r="M33" s="163"/>
      <c r="N33" s="155">
        <f t="shared" si="8"/>
        <v>-7.0031092036515474E-11</v>
      </c>
      <c r="O33" s="119"/>
    </row>
    <row r="34" spans="1:17" x14ac:dyDescent="0.2">
      <c r="A34" s="139" t="s">
        <v>27</v>
      </c>
      <c r="B34" s="10">
        <f t="shared" si="9"/>
        <v>3767.3699999999953</v>
      </c>
      <c r="C34" s="10">
        <f>573447.69-569680.32</f>
        <v>3767.3699999999953</v>
      </c>
      <c r="D34" s="11">
        <v>0</v>
      </c>
      <c r="E34" s="10">
        <v>0</v>
      </c>
      <c r="F34" s="12">
        <f t="shared" si="10"/>
        <v>0</v>
      </c>
      <c r="G34" s="10">
        <f t="shared" si="13"/>
        <v>3767.3699999999953</v>
      </c>
      <c r="H34" s="13">
        <v>3767.37</v>
      </c>
      <c r="I34" s="14">
        <v>0</v>
      </c>
      <c r="J34" s="14">
        <v>0</v>
      </c>
      <c r="K34" s="14">
        <f t="shared" si="11"/>
        <v>3767.37</v>
      </c>
      <c r="L34" s="15">
        <f t="shared" si="12"/>
        <v>0</v>
      </c>
      <c r="M34" s="163"/>
      <c r="N34" s="62">
        <f t="shared" si="8"/>
        <v>4.5474735088646412E-12</v>
      </c>
      <c r="O34" s="119"/>
    </row>
    <row r="35" spans="1:17" x14ac:dyDescent="0.2">
      <c r="A35" s="139" t="s">
        <v>28</v>
      </c>
      <c r="B35" s="10">
        <f t="shared" si="9"/>
        <v>36484.65</v>
      </c>
      <c r="C35" s="10">
        <f>36484.65-0</f>
        <v>36484.65</v>
      </c>
      <c r="D35" s="11">
        <v>0</v>
      </c>
      <c r="E35" s="10">
        <v>35942.33</v>
      </c>
      <c r="F35" s="12">
        <f t="shared" si="10"/>
        <v>0.98513566664336916</v>
      </c>
      <c r="G35" s="10">
        <f t="shared" si="13"/>
        <v>542.31999999999971</v>
      </c>
      <c r="H35" s="13">
        <v>542.32000000000005</v>
      </c>
      <c r="I35" s="14">
        <v>0</v>
      </c>
      <c r="J35" s="14">
        <v>0</v>
      </c>
      <c r="K35" s="14">
        <f t="shared" si="11"/>
        <v>542.32000000000005</v>
      </c>
      <c r="L35" s="15">
        <f t="shared" si="12"/>
        <v>0.98513566664336916</v>
      </c>
      <c r="M35" s="163"/>
      <c r="N35" s="155">
        <f t="shared" si="8"/>
        <v>0</v>
      </c>
      <c r="O35" s="119"/>
    </row>
    <row r="36" spans="1:17" x14ac:dyDescent="0.2">
      <c r="A36" s="139" t="s">
        <v>29</v>
      </c>
      <c r="B36" s="10">
        <f>+C36</f>
        <v>4269132.7199999988</v>
      </c>
      <c r="C36" s="10">
        <f>25804148.7-21535015.98</f>
        <v>4269132.7199999988</v>
      </c>
      <c r="D36" s="45"/>
      <c r="E36" s="10">
        <v>3779555.7</v>
      </c>
      <c r="F36" s="12">
        <f t="shared" si="10"/>
        <v>0.88532166786325661</v>
      </c>
      <c r="G36" s="10">
        <f>+C36+D36-E36</f>
        <v>489577.01999999862</v>
      </c>
      <c r="H36" s="13">
        <f>2255525.44-1688966.46</f>
        <v>566558.98</v>
      </c>
      <c r="I36" s="14">
        <v>122706.07</v>
      </c>
      <c r="J36" s="14">
        <f>20016.25+99956.62+61086.68+18628.48</f>
        <v>199688.03</v>
      </c>
      <c r="K36" s="14">
        <f>H36+I36-J36</f>
        <v>489577.02</v>
      </c>
      <c r="L36" s="15">
        <f t="shared" si="12"/>
        <v>0.88532166786325661</v>
      </c>
      <c r="M36" s="163"/>
      <c r="N36" s="62">
        <f t="shared" si="8"/>
        <v>1.3969838619232178E-9</v>
      </c>
      <c r="O36" s="115"/>
    </row>
    <row r="37" spans="1:17" x14ac:dyDescent="0.2">
      <c r="A37" s="139" t="s">
        <v>30</v>
      </c>
      <c r="B37" s="10">
        <f t="shared" si="9"/>
        <v>193749.02000000025</v>
      </c>
      <c r="C37" s="10">
        <f>19272341-17976826.68-1101765.3</f>
        <v>193749.02000000025</v>
      </c>
      <c r="D37" s="10">
        <v>-484.77</v>
      </c>
      <c r="E37" s="10">
        <v>0</v>
      </c>
      <c r="F37" s="12">
        <f t="shared" si="10"/>
        <v>0</v>
      </c>
      <c r="G37" s="10">
        <f>+C37+D37-E37</f>
        <v>193264.25000000026</v>
      </c>
      <c r="H37" s="13">
        <v>167473.73000000001</v>
      </c>
      <c r="I37" s="14">
        <v>296402</v>
      </c>
      <c r="J37" s="14">
        <f>26299+244312.48</f>
        <v>270611.48</v>
      </c>
      <c r="K37" s="14">
        <f>H37+I37-J37</f>
        <v>193264.25</v>
      </c>
      <c r="L37" s="15">
        <f t="shared" si="12"/>
        <v>0</v>
      </c>
      <c r="M37" s="163"/>
      <c r="N37" s="102">
        <f>+K37-G37</f>
        <v>-2.6193447411060333E-10</v>
      </c>
      <c r="O37" s="117"/>
    </row>
    <row r="38" spans="1:17" s="5" customFormat="1" x14ac:dyDescent="0.2">
      <c r="A38" s="20" t="s">
        <v>33</v>
      </c>
      <c r="B38" s="21">
        <f>SUM(B27:B37)</f>
        <v>8081537.6099999985</v>
      </c>
      <c r="C38" s="21">
        <f>SUM(C27:C37)</f>
        <v>8081537.6099999985</v>
      </c>
      <c r="D38" s="21">
        <f>SUM(D27:D37)</f>
        <v>-254.37000000000006</v>
      </c>
      <c r="E38" s="21">
        <f>SUM(E27:E37)</f>
        <v>5589205.96</v>
      </c>
      <c r="F38" s="22">
        <f>+E38/C38</f>
        <v>0.69160180026681839</v>
      </c>
      <c r="G38" s="21">
        <f>SUM(G27:G37)</f>
        <v>2492077.2799999989</v>
      </c>
      <c r="H38" s="21">
        <f>SUM(H27:H37)</f>
        <v>2964865.91</v>
      </c>
      <c r="I38" s="21">
        <f>SUM(I27:I37)</f>
        <v>1070779.75</v>
      </c>
      <c r="J38" s="21">
        <f>SUM(J27:J37)</f>
        <v>1543568.3800000001</v>
      </c>
      <c r="K38" s="21">
        <f>SUM(K27:K37)</f>
        <v>2492077.2800000003</v>
      </c>
      <c r="L38" s="23"/>
      <c r="M38" s="164"/>
      <c r="N38" s="95">
        <f t="shared" ref="N38:N63" si="14">+K38-G38</f>
        <v>0</v>
      </c>
      <c r="P38" s="143"/>
      <c r="Q38" s="143"/>
    </row>
    <row r="39" spans="1:17" x14ac:dyDescent="0.2">
      <c r="A39" s="139" t="s">
        <v>18</v>
      </c>
      <c r="B39" s="10">
        <v>0</v>
      </c>
      <c r="C39" s="10">
        <v>0</v>
      </c>
      <c r="D39" s="13"/>
      <c r="E39" s="10">
        <v>0</v>
      </c>
      <c r="F39" s="12">
        <v>0</v>
      </c>
      <c r="G39" s="10">
        <v>10714.68</v>
      </c>
      <c r="H39" s="10">
        <v>10714.68</v>
      </c>
      <c r="I39" s="10">
        <v>0</v>
      </c>
      <c r="J39" s="10">
        <v>0</v>
      </c>
      <c r="K39" s="10">
        <f t="shared" si="11"/>
        <v>10714.68</v>
      </c>
      <c r="L39" s="15"/>
      <c r="M39" s="163"/>
      <c r="N39" s="95">
        <f t="shared" si="14"/>
        <v>0</v>
      </c>
    </row>
    <row r="40" spans="1:17" x14ac:dyDescent="0.2">
      <c r="A40" s="139" t="s">
        <v>20</v>
      </c>
      <c r="B40" s="10">
        <v>0</v>
      </c>
      <c r="C40" s="10">
        <v>0</v>
      </c>
      <c r="D40" s="13"/>
      <c r="E40" s="10">
        <v>0</v>
      </c>
      <c r="F40" s="12">
        <v>0</v>
      </c>
      <c r="G40" s="10">
        <v>4740.07</v>
      </c>
      <c r="H40" s="10">
        <v>4740.07</v>
      </c>
      <c r="I40" s="10">
        <v>0</v>
      </c>
      <c r="J40" s="10">
        <v>0</v>
      </c>
      <c r="K40" s="10">
        <f t="shared" si="11"/>
        <v>4740.07</v>
      </c>
      <c r="L40" s="15"/>
      <c r="M40" s="163"/>
      <c r="N40" s="95">
        <f t="shared" si="14"/>
        <v>0</v>
      </c>
    </row>
    <row r="41" spans="1:17" x14ac:dyDescent="0.2">
      <c r="A41" s="139" t="s">
        <v>25</v>
      </c>
      <c r="B41" s="10">
        <v>0</v>
      </c>
      <c r="C41" s="10">
        <v>0</v>
      </c>
      <c r="D41" s="13"/>
      <c r="E41" s="10">
        <v>0</v>
      </c>
      <c r="F41" s="12">
        <v>0</v>
      </c>
      <c r="G41" s="10">
        <v>6062.34</v>
      </c>
      <c r="H41" s="10">
        <v>6062.34</v>
      </c>
      <c r="I41" s="10">
        <v>0</v>
      </c>
      <c r="J41" s="10">
        <v>0</v>
      </c>
      <c r="K41" s="10">
        <f t="shared" si="11"/>
        <v>6062.34</v>
      </c>
      <c r="L41" s="15"/>
      <c r="M41" s="163"/>
      <c r="N41" s="95">
        <f t="shared" si="14"/>
        <v>0</v>
      </c>
    </row>
    <row r="42" spans="1:17" x14ac:dyDescent="0.2">
      <c r="A42" s="139" t="s">
        <v>34</v>
      </c>
      <c r="B42" s="10">
        <v>0</v>
      </c>
      <c r="C42" s="10">
        <v>154782.26</v>
      </c>
      <c r="D42" s="13">
        <v>0</v>
      </c>
      <c r="E42" s="10">
        <v>0</v>
      </c>
      <c r="F42" s="12">
        <v>0</v>
      </c>
      <c r="G42" s="10">
        <f>+C42+D42-E42</f>
        <v>154782.26</v>
      </c>
      <c r="H42" s="10">
        <v>237102.37</v>
      </c>
      <c r="I42" s="10">
        <v>0</v>
      </c>
      <c r="J42" s="10">
        <v>82320.11</v>
      </c>
      <c r="K42" s="10">
        <f t="shared" si="11"/>
        <v>154782.26</v>
      </c>
      <c r="L42" s="15"/>
      <c r="M42" s="163"/>
      <c r="N42" s="95">
        <f t="shared" si="14"/>
        <v>0</v>
      </c>
    </row>
    <row r="43" spans="1:17" x14ac:dyDescent="0.2">
      <c r="A43" s="20" t="s">
        <v>35</v>
      </c>
      <c r="B43" s="25">
        <f t="shared" ref="B43:K43" si="15">SUM(B39:B42)</f>
        <v>0</v>
      </c>
      <c r="C43" s="25">
        <f t="shared" si="15"/>
        <v>154782.26</v>
      </c>
      <c r="D43" s="25">
        <f t="shared" si="15"/>
        <v>0</v>
      </c>
      <c r="E43" s="25">
        <f t="shared" si="15"/>
        <v>0</v>
      </c>
      <c r="F43" s="25">
        <f t="shared" si="15"/>
        <v>0</v>
      </c>
      <c r="G43" s="25">
        <f t="shared" si="15"/>
        <v>176299.35</v>
      </c>
      <c r="H43" s="25">
        <f t="shared" si="15"/>
        <v>258619.46</v>
      </c>
      <c r="I43" s="25">
        <f t="shared" si="15"/>
        <v>0</v>
      </c>
      <c r="J43" s="25">
        <f t="shared" si="15"/>
        <v>82320.11</v>
      </c>
      <c r="K43" s="25">
        <f t="shared" si="15"/>
        <v>176299.35</v>
      </c>
      <c r="L43" s="27"/>
      <c r="M43" s="163"/>
      <c r="N43" s="95">
        <f t="shared" si="14"/>
        <v>0</v>
      </c>
    </row>
    <row r="44" spans="1:17" x14ac:dyDescent="0.2">
      <c r="A44" s="139" t="s">
        <v>18</v>
      </c>
      <c r="B44" s="10">
        <v>0</v>
      </c>
      <c r="C44" s="10">
        <v>0</v>
      </c>
      <c r="D44" s="10"/>
      <c r="E44" s="10">
        <v>0</v>
      </c>
      <c r="F44" s="12">
        <v>0</v>
      </c>
      <c r="G44" s="10">
        <v>1710.94</v>
      </c>
      <c r="H44" s="10">
        <f>1710.47+0.47</f>
        <v>1710.94</v>
      </c>
      <c r="I44" s="10">
        <v>0</v>
      </c>
      <c r="J44" s="10">
        <v>0</v>
      </c>
      <c r="K44" s="10">
        <f t="shared" si="11"/>
        <v>1710.94</v>
      </c>
      <c r="L44" s="15"/>
      <c r="M44" s="163"/>
      <c r="N44" s="95">
        <f t="shared" si="14"/>
        <v>0</v>
      </c>
    </row>
    <row r="45" spans="1:17" x14ac:dyDescent="0.2">
      <c r="A45" s="139" t="s">
        <v>20</v>
      </c>
      <c r="B45" s="10">
        <v>0</v>
      </c>
      <c r="C45" s="10">
        <v>0</v>
      </c>
      <c r="D45" s="10"/>
      <c r="E45" s="10">
        <v>0</v>
      </c>
      <c r="F45" s="12">
        <v>0</v>
      </c>
      <c r="G45" s="10">
        <v>1937.75</v>
      </c>
      <c r="H45" s="10">
        <v>1937.75</v>
      </c>
      <c r="I45" s="10">
        <v>0</v>
      </c>
      <c r="J45" s="10">
        <v>0</v>
      </c>
      <c r="K45" s="10">
        <f t="shared" si="11"/>
        <v>1937.75</v>
      </c>
      <c r="L45" s="15"/>
      <c r="M45" s="163"/>
      <c r="N45" s="95">
        <f t="shared" si="14"/>
        <v>0</v>
      </c>
    </row>
    <row r="46" spans="1:17" x14ac:dyDescent="0.2">
      <c r="A46" s="139" t="s">
        <v>21</v>
      </c>
      <c r="B46" s="10">
        <v>0</v>
      </c>
      <c r="C46" s="10">
        <v>0</v>
      </c>
      <c r="D46" s="10"/>
      <c r="E46" s="10">
        <v>0</v>
      </c>
      <c r="F46" s="12">
        <v>0</v>
      </c>
      <c r="G46" s="10">
        <v>1869.07</v>
      </c>
      <c r="H46" s="10">
        <v>1869.07</v>
      </c>
      <c r="I46" s="10">
        <v>0</v>
      </c>
      <c r="J46" s="10">
        <v>0</v>
      </c>
      <c r="K46" s="10">
        <f t="shared" si="11"/>
        <v>1869.07</v>
      </c>
      <c r="L46" s="15"/>
      <c r="M46" s="163"/>
      <c r="N46" s="95">
        <f t="shared" si="14"/>
        <v>0</v>
      </c>
    </row>
    <row r="47" spans="1:17" x14ac:dyDescent="0.2">
      <c r="A47" s="139" t="s">
        <v>24</v>
      </c>
      <c r="B47" s="10">
        <v>0</v>
      </c>
      <c r="C47" s="10">
        <v>0</v>
      </c>
      <c r="D47" s="10"/>
      <c r="E47" s="10">
        <v>0</v>
      </c>
      <c r="F47" s="12">
        <v>0</v>
      </c>
      <c r="G47" s="10">
        <v>17486.5</v>
      </c>
      <c r="H47" s="10">
        <v>17486.5</v>
      </c>
      <c r="I47" s="10">
        <v>0</v>
      </c>
      <c r="J47" s="10">
        <v>0</v>
      </c>
      <c r="K47" s="10">
        <f t="shared" si="11"/>
        <v>17486.5</v>
      </c>
      <c r="L47" s="15"/>
      <c r="M47" s="163"/>
      <c r="N47" s="95">
        <f t="shared" si="14"/>
        <v>0</v>
      </c>
    </row>
    <row r="48" spans="1:17" x14ac:dyDescent="0.2">
      <c r="A48" s="139" t="s">
        <v>25</v>
      </c>
      <c r="B48" s="10">
        <v>0</v>
      </c>
      <c r="C48" s="10">
        <v>0</v>
      </c>
      <c r="D48" s="10"/>
      <c r="E48" s="10">
        <v>0</v>
      </c>
      <c r="F48" s="12">
        <v>0</v>
      </c>
      <c r="G48" s="10">
        <v>8151.67</v>
      </c>
      <c r="H48" s="10">
        <v>8151.67</v>
      </c>
      <c r="I48" s="10">
        <v>0</v>
      </c>
      <c r="J48" s="10">
        <v>0</v>
      </c>
      <c r="K48" s="10">
        <f t="shared" si="11"/>
        <v>8151.67</v>
      </c>
      <c r="L48" s="15"/>
      <c r="M48" s="163"/>
      <c r="N48" s="95">
        <f t="shared" si="14"/>
        <v>0</v>
      </c>
    </row>
    <row r="49" spans="1:14" x14ac:dyDescent="0.2">
      <c r="A49" s="139" t="s">
        <v>29</v>
      </c>
      <c r="B49" s="10">
        <v>0</v>
      </c>
      <c r="C49" s="10">
        <v>0</v>
      </c>
      <c r="D49" s="10">
        <v>0</v>
      </c>
      <c r="E49" s="10">
        <v>0</v>
      </c>
      <c r="F49" s="12">
        <v>0</v>
      </c>
      <c r="G49" s="10">
        <v>17.399999999999999</v>
      </c>
      <c r="H49" s="10">
        <v>17.399999999999999</v>
      </c>
      <c r="I49" s="10"/>
      <c r="J49" s="10">
        <v>0</v>
      </c>
      <c r="K49" s="10">
        <f t="shared" si="11"/>
        <v>17.399999999999999</v>
      </c>
      <c r="L49" s="15"/>
      <c r="M49" s="163"/>
      <c r="N49" s="95">
        <f t="shared" si="14"/>
        <v>0</v>
      </c>
    </row>
    <row r="50" spans="1:14" x14ac:dyDescent="0.2">
      <c r="A50" s="20" t="s">
        <v>37</v>
      </c>
      <c r="B50" s="25">
        <f t="shared" ref="B50:K50" si="16">SUM(B44:B49)</f>
        <v>0</v>
      </c>
      <c r="C50" s="25">
        <f t="shared" si="16"/>
        <v>0</v>
      </c>
      <c r="D50" s="25">
        <f t="shared" si="16"/>
        <v>0</v>
      </c>
      <c r="E50" s="25">
        <f t="shared" si="16"/>
        <v>0</v>
      </c>
      <c r="F50" s="25">
        <f t="shared" si="16"/>
        <v>0</v>
      </c>
      <c r="G50" s="25">
        <f t="shared" si="16"/>
        <v>31173.33</v>
      </c>
      <c r="H50" s="25">
        <f t="shared" si="16"/>
        <v>31173.33</v>
      </c>
      <c r="I50" s="25">
        <f t="shared" si="16"/>
        <v>0</v>
      </c>
      <c r="J50" s="25">
        <f t="shared" si="16"/>
        <v>0</v>
      </c>
      <c r="K50" s="25">
        <f t="shared" si="16"/>
        <v>31173.33</v>
      </c>
      <c r="L50" s="27"/>
      <c r="M50" s="163"/>
      <c r="N50" s="95">
        <f>+K50-G50</f>
        <v>0</v>
      </c>
    </row>
    <row r="51" spans="1:14" x14ac:dyDescent="0.2">
      <c r="A51" s="139" t="s">
        <v>18</v>
      </c>
      <c r="B51" s="10">
        <v>0</v>
      </c>
      <c r="C51" s="10">
        <v>0</v>
      </c>
      <c r="D51" s="10"/>
      <c r="E51" s="10">
        <v>0</v>
      </c>
      <c r="F51" s="12">
        <v>0</v>
      </c>
      <c r="G51" s="10">
        <v>3476.37</v>
      </c>
      <c r="H51" s="10">
        <v>3476.37</v>
      </c>
      <c r="I51" s="10">
        <v>0</v>
      </c>
      <c r="J51" s="10">
        <v>0</v>
      </c>
      <c r="K51" s="10">
        <f t="shared" si="11"/>
        <v>3476.37</v>
      </c>
      <c r="L51" s="15"/>
      <c r="M51" s="163"/>
      <c r="N51" s="95">
        <f t="shared" si="14"/>
        <v>0</v>
      </c>
    </row>
    <row r="52" spans="1:14" x14ac:dyDescent="0.2">
      <c r="A52" s="139" t="s">
        <v>20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382.8</v>
      </c>
      <c r="H52" s="10">
        <v>382.8</v>
      </c>
      <c r="I52" s="10">
        <v>0</v>
      </c>
      <c r="J52" s="10">
        <v>0</v>
      </c>
      <c r="K52" s="10">
        <f t="shared" si="11"/>
        <v>382.8</v>
      </c>
      <c r="L52" s="15"/>
      <c r="M52" s="163"/>
      <c r="N52" s="95">
        <f t="shared" si="14"/>
        <v>0</v>
      </c>
    </row>
    <row r="53" spans="1:14" x14ac:dyDescent="0.2">
      <c r="A53" s="139" t="s">
        <v>24</v>
      </c>
      <c r="B53" s="10">
        <v>0</v>
      </c>
      <c r="C53" s="10">
        <v>0</v>
      </c>
      <c r="D53" s="10">
        <v>0</v>
      </c>
      <c r="E53" s="10">
        <v>0</v>
      </c>
      <c r="F53" s="12">
        <v>0</v>
      </c>
      <c r="G53" s="10">
        <v>16180.08</v>
      </c>
      <c r="H53" s="10">
        <v>16180.08</v>
      </c>
      <c r="I53" s="10">
        <v>0</v>
      </c>
      <c r="J53" s="10">
        <v>0</v>
      </c>
      <c r="K53" s="10">
        <f t="shared" si="11"/>
        <v>16180.08</v>
      </c>
      <c r="L53" s="15"/>
      <c r="M53" s="163"/>
      <c r="N53" s="62">
        <f t="shared" si="14"/>
        <v>0</v>
      </c>
    </row>
    <row r="54" spans="1:14" x14ac:dyDescent="0.2">
      <c r="A54" s="139" t="s">
        <v>29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242057.67</v>
      </c>
      <c r="H54" s="10">
        <v>242057.67</v>
      </c>
      <c r="I54" s="10">
        <v>0</v>
      </c>
      <c r="J54" s="10">
        <v>0</v>
      </c>
      <c r="K54" s="10">
        <f t="shared" si="11"/>
        <v>242057.67</v>
      </c>
      <c r="L54" s="15"/>
      <c r="M54" s="163"/>
      <c r="N54" s="95">
        <f t="shared" si="14"/>
        <v>0</v>
      </c>
    </row>
    <row r="55" spans="1:14" x14ac:dyDescent="0.2">
      <c r="A55" s="20" t="s">
        <v>38</v>
      </c>
      <c r="B55" s="25">
        <f t="shared" ref="B55:K55" si="17">SUM(B51:B54)</f>
        <v>0</v>
      </c>
      <c r="C55" s="25">
        <f t="shared" si="17"/>
        <v>0</v>
      </c>
      <c r="D55" s="25">
        <f t="shared" si="17"/>
        <v>0</v>
      </c>
      <c r="E55" s="25">
        <f t="shared" si="17"/>
        <v>0</v>
      </c>
      <c r="F55" s="25">
        <f t="shared" si="17"/>
        <v>0</v>
      </c>
      <c r="G55" s="25">
        <f t="shared" si="17"/>
        <v>262096.92</v>
      </c>
      <c r="H55" s="25">
        <f t="shared" si="17"/>
        <v>262096.92</v>
      </c>
      <c r="I55" s="25">
        <f t="shared" si="17"/>
        <v>0</v>
      </c>
      <c r="J55" s="25">
        <f t="shared" si="17"/>
        <v>0</v>
      </c>
      <c r="K55" s="25">
        <f t="shared" si="17"/>
        <v>262096.92</v>
      </c>
      <c r="L55" s="27"/>
      <c r="M55" s="163"/>
      <c r="N55" s="95">
        <f t="shared" si="14"/>
        <v>0</v>
      </c>
    </row>
    <row r="56" spans="1:14" x14ac:dyDescent="0.2">
      <c r="A56" s="139" t="s">
        <v>18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70435.27</v>
      </c>
      <c r="H56" s="10">
        <v>27196.65</v>
      </c>
      <c r="I56" s="10">
        <v>1260055.98</v>
      </c>
      <c r="J56" s="10">
        <v>1216817.3599999999</v>
      </c>
      <c r="K56" s="10">
        <f t="shared" si="11"/>
        <v>70435.270000000019</v>
      </c>
      <c r="L56" s="15"/>
      <c r="M56" s="163"/>
      <c r="N56" s="95">
        <f t="shared" si="14"/>
        <v>0</v>
      </c>
    </row>
    <row r="57" spans="1:14" x14ac:dyDescent="0.2">
      <c r="A57" s="139" t="s">
        <v>36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-10</v>
      </c>
      <c r="H57" s="10">
        <v>-10</v>
      </c>
      <c r="I57" s="10">
        <v>0</v>
      </c>
      <c r="J57" s="10">
        <v>0</v>
      </c>
      <c r="K57" s="10">
        <f t="shared" si="11"/>
        <v>-10</v>
      </c>
      <c r="L57" s="15"/>
      <c r="M57" s="163"/>
      <c r="N57" s="95">
        <f t="shared" si="14"/>
        <v>0</v>
      </c>
    </row>
    <row r="58" spans="1:14" x14ac:dyDescent="0.2">
      <c r="A58" s="139" t="s">
        <v>20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10409.09</v>
      </c>
      <c r="H58" s="10">
        <v>8124.4500000000007</v>
      </c>
      <c r="I58" s="10">
        <v>1364164.99</v>
      </c>
      <c r="J58" s="10">
        <v>1361880.35</v>
      </c>
      <c r="K58" s="10">
        <f t="shared" si="11"/>
        <v>10409.089999999851</v>
      </c>
      <c r="L58" s="15"/>
      <c r="M58" s="163"/>
      <c r="N58" s="95">
        <f t="shared" si="14"/>
        <v>-1.4915713109076023E-10</v>
      </c>
    </row>
    <row r="59" spans="1:14" x14ac:dyDescent="0.2">
      <c r="A59" s="139" t="s">
        <v>24</v>
      </c>
      <c r="B59" s="10">
        <v>0</v>
      </c>
      <c r="C59" s="10">
        <v>0</v>
      </c>
      <c r="D59" s="10"/>
      <c r="E59" s="10">
        <v>0</v>
      </c>
      <c r="F59" s="12">
        <v>0</v>
      </c>
      <c r="G59" s="10">
        <v>1150.8900000000001</v>
      </c>
      <c r="H59" s="10">
        <v>42631.81</v>
      </c>
      <c r="I59" s="10">
        <v>412765.08</v>
      </c>
      <c r="J59" s="10">
        <v>454246</v>
      </c>
      <c r="K59" s="10">
        <f t="shared" si="11"/>
        <v>1150.890000000014</v>
      </c>
      <c r="L59" s="15"/>
      <c r="M59" s="163"/>
      <c r="N59" s="95">
        <f t="shared" si="14"/>
        <v>1.3869794202037156E-11</v>
      </c>
    </row>
    <row r="60" spans="1:14" x14ac:dyDescent="0.2">
      <c r="A60" s="139" t="s">
        <v>25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719.87</v>
      </c>
      <c r="H60" s="10">
        <v>719.87</v>
      </c>
      <c r="I60" s="10">
        <v>0</v>
      </c>
      <c r="J60" s="10">
        <v>0</v>
      </c>
      <c r="K60" s="10">
        <f t="shared" si="11"/>
        <v>719.87</v>
      </c>
      <c r="L60" s="15"/>
      <c r="M60" s="163"/>
      <c r="N60" s="95">
        <f t="shared" si="14"/>
        <v>0</v>
      </c>
    </row>
    <row r="61" spans="1:14" x14ac:dyDescent="0.2">
      <c r="A61" s="139" t="s">
        <v>27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267528.84000000003</v>
      </c>
      <c r="H61" s="10">
        <v>0</v>
      </c>
      <c r="I61" s="10">
        <v>267528.84000000003</v>
      </c>
      <c r="J61" s="10">
        <v>0</v>
      </c>
      <c r="K61" s="10">
        <f t="shared" si="11"/>
        <v>267528.84000000003</v>
      </c>
      <c r="L61" s="15"/>
      <c r="M61" s="163"/>
      <c r="N61" s="95">
        <f t="shared" si="14"/>
        <v>0</v>
      </c>
    </row>
    <row r="62" spans="1:14" x14ac:dyDescent="0.2">
      <c r="A62" s="139" t="s">
        <v>29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236767.4</v>
      </c>
      <c r="H62" s="10">
        <v>243581.68</v>
      </c>
      <c r="I62" s="10">
        <v>0</v>
      </c>
      <c r="J62" s="10">
        <f>2827.74+3986.54</f>
        <v>6814.28</v>
      </c>
      <c r="K62" s="10">
        <f t="shared" si="11"/>
        <v>236767.4</v>
      </c>
      <c r="L62" s="15"/>
      <c r="M62" s="163"/>
      <c r="N62" s="95">
        <f t="shared" si="14"/>
        <v>0</v>
      </c>
    </row>
    <row r="63" spans="1:14" x14ac:dyDescent="0.2">
      <c r="A63" s="20" t="s">
        <v>39</v>
      </c>
      <c r="B63" s="25">
        <f t="shared" ref="B63:K63" si="18">SUM(B56:B62)</f>
        <v>0</v>
      </c>
      <c r="C63" s="25">
        <f t="shared" si="18"/>
        <v>0</v>
      </c>
      <c r="D63" s="25">
        <f t="shared" si="18"/>
        <v>0</v>
      </c>
      <c r="E63" s="25">
        <f t="shared" si="18"/>
        <v>0</v>
      </c>
      <c r="F63" s="25">
        <f t="shared" si="18"/>
        <v>0</v>
      </c>
      <c r="G63" s="25">
        <f t="shared" si="18"/>
        <v>587001.36</v>
      </c>
      <c r="H63" s="25">
        <f t="shared" si="18"/>
        <v>322244.45999999996</v>
      </c>
      <c r="I63" s="25">
        <f t="shared" si="18"/>
        <v>3304514.8899999997</v>
      </c>
      <c r="J63" s="25">
        <f t="shared" si="18"/>
        <v>3039757.9899999998</v>
      </c>
      <c r="K63" s="25">
        <f t="shared" si="18"/>
        <v>587001.35999999987</v>
      </c>
      <c r="L63" s="27"/>
      <c r="M63" s="163"/>
      <c r="N63" s="95">
        <f t="shared" si="14"/>
        <v>0</v>
      </c>
    </row>
    <row r="64" spans="1:14" x14ac:dyDescent="0.25">
      <c r="A64" s="20" t="s">
        <v>44</v>
      </c>
      <c r="B64" s="25">
        <f t="shared" ref="B64:K64" si="19">+B26+B38+B43+B50+B55+B63</f>
        <v>111331779.88999999</v>
      </c>
      <c r="C64" s="25">
        <f t="shared" si="19"/>
        <v>111486562.14999999</v>
      </c>
      <c r="D64" s="25">
        <f t="shared" si="19"/>
        <v>186196.78</v>
      </c>
      <c r="E64" s="25">
        <f t="shared" si="19"/>
        <v>106422310.47999997</v>
      </c>
      <c r="F64" s="25">
        <f t="shared" si="19"/>
        <v>8.8348505908473474</v>
      </c>
      <c r="G64" s="25">
        <f t="shared" si="19"/>
        <v>6152237.1499999994</v>
      </c>
      <c r="H64" s="25">
        <f t="shared" si="19"/>
        <v>8648988.9900000021</v>
      </c>
      <c r="I64" s="25">
        <f t="shared" si="19"/>
        <v>5103832.99</v>
      </c>
      <c r="J64" s="25">
        <f t="shared" si="19"/>
        <v>7600584.8300000001</v>
      </c>
      <c r="K64" s="25">
        <f t="shared" si="19"/>
        <v>6152237.1499999985</v>
      </c>
      <c r="L64" s="27"/>
      <c r="M64" s="163"/>
    </row>
    <row r="65" spans="1:13" x14ac:dyDescent="0.25">
      <c r="A65" s="28"/>
      <c r="B65" s="29"/>
      <c r="C65" s="29"/>
      <c r="D65" s="29"/>
      <c r="E65" s="28"/>
      <c r="F65" s="28"/>
      <c r="G65" s="28"/>
      <c r="H65" s="28"/>
      <c r="I65" s="28"/>
      <c r="J65" s="28"/>
      <c r="K65" s="28"/>
      <c r="L65" s="30"/>
      <c r="M65" s="30"/>
    </row>
    <row r="66" spans="1:13" x14ac:dyDescent="0.25">
      <c r="A66" s="140"/>
      <c r="B66" s="19"/>
      <c r="C66" s="333" t="s">
        <v>45</v>
      </c>
      <c r="D66" s="333"/>
      <c r="E66" s="333"/>
      <c r="F66" s="333"/>
      <c r="G66" s="333"/>
      <c r="H66" s="333"/>
      <c r="I66" s="333"/>
      <c r="J66" s="19"/>
      <c r="K66" s="19"/>
      <c r="L66" s="19"/>
      <c r="M66" s="19"/>
    </row>
    <row r="67" spans="1:13" x14ac:dyDescent="0.25">
      <c r="A67" s="140"/>
      <c r="B67" s="19"/>
      <c r="C67" s="147"/>
      <c r="D67" s="147"/>
      <c r="E67" s="147"/>
      <c r="F67" s="147"/>
      <c r="G67" s="147"/>
      <c r="H67" s="147"/>
      <c r="I67" s="147"/>
      <c r="J67" s="19"/>
      <c r="K67" s="19"/>
      <c r="L67" s="19"/>
      <c r="M67" s="19"/>
    </row>
    <row r="68" spans="1:13" x14ac:dyDescent="0.25">
      <c r="A68" s="140"/>
      <c r="B68" s="325" t="s">
        <v>46</v>
      </c>
      <c r="C68" s="325"/>
      <c r="D68" s="326" t="s">
        <v>47</v>
      </c>
      <c r="E68" s="327"/>
      <c r="F68" s="328"/>
      <c r="G68" s="320" t="s">
        <v>48</v>
      </c>
      <c r="H68" s="320"/>
      <c r="I68" s="145" t="s">
        <v>10</v>
      </c>
      <c r="J68" s="19"/>
      <c r="K68" s="19"/>
      <c r="L68" s="19"/>
      <c r="M68" s="19"/>
    </row>
    <row r="69" spans="1:13" x14ac:dyDescent="0.25">
      <c r="A69" s="140"/>
      <c r="B69" s="329" t="s">
        <v>49</v>
      </c>
      <c r="C69" s="329"/>
      <c r="D69" s="330">
        <v>9645123.6099999994</v>
      </c>
      <c r="E69" s="331"/>
      <c r="F69" s="332">
        <v>0</v>
      </c>
      <c r="G69" s="330">
        <f>+D69</f>
        <v>9645123.6099999994</v>
      </c>
      <c r="H69" s="332"/>
      <c r="I69" s="33">
        <f>G69/D69</f>
        <v>1</v>
      </c>
      <c r="J69" s="19"/>
      <c r="K69" s="19"/>
      <c r="L69" s="19"/>
      <c r="M69" s="19"/>
    </row>
    <row r="70" spans="1:13" x14ac:dyDescent="0.25">
      <c r="A70" s="140"/>
      <c r="B70" s="320"/>
      <c r="C70" s="320"/>
      <c r="D70" s="321"/>
      <c r="E70" s="322"/>
      <c r="F70" s="323"/>
      <c r="G70" s="324"/>
      <c r="H70" s="324"/>
      <c r="I70" s="146"/>
      <c r="J70" s="19"/>
      <c r="K70" s="19"/>
      <c r="L70" s="19"/>
      <c r="M70" s="19"/>
    </row>
    <row r="71" spans="1:13" x14ac:dyDescent="0.25">
      <c r="A71" s="140"/>
      <c r="B71" s="320"/>
      <c r="C71" s="320"/>
      <c r="D71" s="321"/>
      <c r="E71" s="322"/>
      <c r="F71" s="323"/>
      <c r="G71" s="324"/>
      <c r="H71" s="324"/>
      <c r="I71" s="146"/>
      <c r="J71" s="19"/>
      <c r="K71" s="19"/>
      <c r="L71" s="19"/>
      <c r="M71" s="19"/>
    </row>
    <row r="72" spans="1:13" x14ac:dyDescent="0.25">
      <c r="A72" s="140"/>
      <c r="B72" s="320"/>
      <c r="C72" s="320"/>
      <c r="D72" s="321"/>
      <c r="E72" s="322"/>
      <c r="F72" s="323"/>
      <c r="G72" s="324"/>
      <c r="H72" s="324"/>
      <c r="I72" s="146"/>
      <c r="J72" s="19"/>
      <c r="K72" s="19"/>
      <c r="L72" s="19"/>
      <c r="M72" s="19"/>
    </row>
    <row r="73" spans="1:13" x14ac:dyDescent="0.25">
      <c r="A73" s="35" t="s">
        <v>50</v>
      </c>
      <c r="B73" s="36"/>
      <c r="C73" s="36"/>
      <c r="D73" s="36"/>
      <c r="E73" s="36"/>
      <c r="F73" s="36"/>
      <c r="G73" s="37"/>
      <c r="H73" s="37"/>
      <c r="I73" s="38"/>
      <c r="J73" s="19"/>
      <c r="K73" s="19"/>
      <c r="L73" s="19"/>
      <c r="M73" s="19"/>
    </row>
  </sheetData>
  <mergeCells count="33">
    <mergeCell ref="A7:L7"/>
    <mergeCell ref="A6:L6"/>
    <mergeCell ref="C66:I66"/>
    <mergeCell ref="A1:L1"/>
    <mergeCell ref="A3:L3"/>
    <mergeCell ref="C8:G8"/>
    <mergeCell ref="H8:K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68:C68"/>
    <mergeCell ref="D68:F68"/>
    <mergeCell ref="G68:H68"/>
    <mergeCell ref="B69:C69"/>
    <mergeCell ref="D69:F69"/>
    <mergeCell ref="G69:H69"/>
    <mergeCell ref="B72:C72"/>
    <mergeCell ref="D72:F72"/>
    <mergeCell ref="G72:H72"/>
    <mergeCell ref="B70:C70"/>
    <mergeCell ref="D70:F70"/>
    <mergeCell ref="G70:H70"/>
    <mergeCell ref="B71:C71"/>
    <mergeCell ref="D71:F71"/>
    <mergeCell ref="G71:H71"/>
  </mergeCells>
  <pageMargins left="0.39370078740157483" right="0.39370078740157483" top="0.39370078740157483" bottom="0.39370078740157483" header="0.31496062992125984" footer="0.31496062992125984"/>
  <pageSetup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88"/>
  <sheetViews>
    <sheetView topLeftCell="A16" zoomScale="120" zoomScaleNormal="120" workbookViewId="0">
      <selection activeCell="G23" sqref="G23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3" width="16.5703125" style="1"/>
    <col min="14" max="14" width="24.28515625" style="165" customWidth="1"/>
    <col min="15" max="15" width="16.5703125" style="169" customWidth="1"/>
    <col min="16" max="17" width="16.5703125" style="141"/>
    <col min="18" max="257" width="16.5703125" style="1"/>
    <col min="258" max="258" width="16.5703125" style="1" customWidth="1"/>
    <col min="259" max="262" width="12.7109375" style="1" customWidth="1"/>
    <col min="263" max="263" width="6.5703125" style="1" bestFit="1" customWidth="1"/>
    <col min="264" max="268" width="12.7109375" style="1" customWidth="1"/>
    <col min="269" max="513" width="16.5703125" style="1"/>
    <col min="514" max="514" width="16.5703125" style="1" customWidth="1"/>
    <col min="515" max="518" width="12.7109375" style="1" customWidth="1"/>
    <col min="519" max="519" width="6.5703125" style="1" bestFit="1" customWidth="1"/>
    <col min="520" max="524" width="12.7109375" style="1" customWidth="1"/>
    <col min="525" max="769" width="16.5703125" style="1"/>
    <col min="770" max="770" width="16.5703125" style="1" customWidth="1"/>
    <col min="771" max="774" width="12.7109375" style="1" customWidth="1"/>
    <col min="775" max="775" width="6.5703125" style="1" bestFit="1" customWidth="1"/>
    <col min="776" max="780" width="12.7109375" style="1" customWidth="1"/>
    <col min="781" max="1025" width="16.5703125" style="1"/>
    <col min="1026" max="1026" width="16.5703125" style="1" customWidth="1"/>
    <col min="1027" max="1030" width="12.7109375" style="1" customWidth="1"/>
    <col min="1031" max="1031" width="6.5703125" style="1" bestFit="1" customWidth="1"/>
    <col min="1032" max="1036" width="12.7109375" style="1" customWidth="1"/>
    <col min="1037" max="1281" width="16.5703125" style="1"/>
    <col min="1282" max="1282" width="16.5703125" style="1" customWidth="1"/>
    <col min="1283" max="1286" width="12.7109375" style="1" customWidth="1"/>
    <col min="1287" max="1287" width="6.5703125" style="1" bestFit="1" customWidth="1"/>
    <col min="1288" max="1292" width="12.7109375" style="1" customWidth="1"/>
    <col min="1293" max="1537" width="16.5703125" style="1"/>
    <col min="1538" max="1538" width="16.5703125" style="1" customWidth="1"/>
    <col min="1539" max="1542" width="12.7109375" style="1" customWidth="1"/>
    <col min="1543" max="1543" width="6.5703125" style="1" bestFit="1" customWidth="1"/>
    <col min="1544" max="1548" width="12.7109375" style="1" customWidth="1"/>
    <col min="1549" max="1793" width="16.5703125" style="1"/>
    <col min="1794" max="1794" width="16.5703125" style="1" customWidth="1"/>
    <col min="1795" max="1798" width="12.7109375" style="1" customWidth="1"/>
    <col min="1799" max="1799" width="6.5703125" style="1" bestFit="1" customWidth="1"/>
    <col min="1800" max="1804" width="12.7109375" style="1" customWidth="1"/>
    <col min="1805" max="2049" width="16.5703125" style="1"/>
    <col min="2050" max="2050" width="16.5703125" style="1" customWidth="1"/>
    <col min="2051" max="2054" width="12.7109375" style="1" customWidth="1"/>
    <col min="2055" max="2055" width="6.5703125" style="1" bestFit="1" customWidth="1"/>
    <col min="2056" max="2060" width="12.7109375" style="1" customWidth="1"/>
    <col min="2061" max="2305" width="16.5703125" style="1"/>
    <col min="2306" max="2306" width="16.5703125" style="1" customWidth="1"/>
    <col min="2307" max="2310" width="12.7109375" style="1" customWidth="1"/>
    <col min="2311" max="2311" width="6.5703125" style="1" bestFit="1" customWidth="1"/>
    <col min="2312" max="2316" width="12.7109375" style="1" customWidth="1"/>
    <col min="2317" max="2561" width="16.5703125" style="1"/>
    <col min="2562" max="2562" width="16.5703125" style="1" customWidth="1"/>
    <col min="2563" max="2566" width="12.7109375" style="1" customWidth="1"/>
    <col min="2567" max="2567" width="6.5703125" style="1" bestFit="1" customWidth="1"/>
    <col min="2568" max="2572" width="12.7109375" style="1" customWidth="1"/>
    <col min="2573" max="2817" width="16.5703125" style="1"/>
    <col min="2818" max="2818" width="16.5703125" style="1" customWidth="1"/>
    <col min="2819" max="2822" width="12.7109375" style="1" customWidth="1"/>
    <col min="2823" max="2823" width="6.5703125" style="1" bestFit="1" customWidth="1"/>
    <col min="2824" max="2828" width="12.7109375" style="1" customWidth="1"/>
    <col min="2829" max="3073" width="16.5703125" style="1"/>
    <col min="3074" max="3074" width="16.5703125" style="1" customWidth="1"/>
    <col min="3075" max="3078" width="12.7109375" style="1" customWidth="1"/>
    <col min="3079" max="3079" width="6.5703125" style="1" bestFit="1" customWidth="1"/>
    <col min="3080" max="3084" width="12.7109375" style="1" customWidth="1"/>
    <col min="3085" max="3329" width="16.5703125" style="1"/>
    <col min="3330" max="3330" width="16.5703125" style="1" customWidth="1"/>
    <col min="3331" max="3334" width="12.7109375" style="1" customWidth="1"/>
    <col min="3335" max="3335" width="6.5703125" style="1" bestFit="1" customWidth="1"/>
    <col min="3336" max="3340" width="12.7109375" style="1" customWidth="1"/>
    <col min="3341" max="3585" width="16.5703125" style="1"/>
    <col min="3586" max="3586" width="16.5703125" style="1" customWidth="1"/>
    <col min="3587" max="3590" width="12.7109375" style="1" customWidth="1"/>
    <col min="3591" max="3591" width="6.5703125" style="1" bestFit="1" customWidth="1"/>
    <col min="3592" max="3596" width="12.7109375" style="1" customWidth="1"/>
    <col min="3597" max="3841" width="16.5703125" style="1"/>
    <col min="3842" max="3842" width="16.5703125" style="1" customWidth="1"/>
    <col min="3843" max="3846" width="12.7109375" style="1" customWidth="1"/>
    <col min="3847" max="3847" width="6.5703125" style="1" bestFit="1" customWidth="1"/>
    <col min="3848" max="3852" width="12.7109375" style="1" customWidth="1"/>
    <col min="3853" max="4097" width="16.5703125" style="1"/>
    <col min="4098" max="4098" width="16.5703125" style="1" customWidth="1"/>
    <col min="4099" max="4102" width="12.7109375" style="1" customWidth="1"/>
    <col min="4103" max="4103" width="6.5703125" style="1" bestFit="1" customWidth="1"/>
    <col min="4104" max="4108" width="12.7109375" style="1" customWidth="1"/>
    <col min="4109" max="4353" width="16.5703125" style="1"/>
    <col min="4354" max="4354" width="16.5703125" style="1" customWidth="1"/>
    <col min="4355" max="4358" width="12.7109375" style="1" customWidth="1"/>
    <col min="4359" max="4359" width="6.5703125" style="1" bestFit="1" customWidth="1"/>
    <col min="4360" max="4364" width="12.7109375" style="1" customWidth="1"/>
    <col min="4365" max="4609" width="16.5703125" style="1"/>
    <col min="4610" max="4610" width="16.5703125" style="1" customWidth="1"/>
    <col min="4611" max="4614" width="12.7109375" style="1" customWidth="1"/>
    <col min="4615" max="4615" width="6.5703125" style="1" bestFit="1" customWidth="1"/>
    <col min="4616" max="4620" width="12.7109375" style="1" customWidth="1"/>
    <col min="4621" max="4865" width="16.5703125" style="1"/>
    <col min="4866" max="4866" width="16.5703125" style="1" customWidth="1"/>
    <col min="4867" max="4870" width="12.7109375" style="1" customWidth="1"/>
    <col min="4871" max="4871" width="6.5703125" style="1" bestFit="1" customWidth="1"/>
    <col min="4872" max="4876" width="12.7109375" style="1" customWidth="1"/>
    <col min="4877" max="5121" width="16.5703125" style="1"/>
    <col min="5122" max="5122" width="16.5703125" style="1" customWidth="1"/>
    <col min="5123" max="5126" width="12.7109375" style="1" customWidth="1"/>
    <col min="5127" max="5127" width="6.5703125" style="1" bestFit="1" customWidth="1"/>
    <col min="5128" max="5132" width="12.7109375" style="1" customWidth="1"/>
    <col min="5133" max="5377" width="16.5703125" style="1"/>
    <col min="5378" max="5378" width="16.5703125" style="1" customWidth="1"/>
    <col min="5379" max="5382" width="12.7109375" style="1" customWidth="1"/>
    <col min="5383" max="5383" width="6.5703125" style="1" bestFit="1" customWidth="1"/>
    <col min="5384" max="5388" width="12.7109375" style="1" customWidth="1"/>
    <col min="5389" max="5633" width="16.5703125" style="1"/>
    <col min="5634" max="5634" width="16.5703125" style="1" customWidth="1"/>
    <col min="5635" max="5638" width="12.7109375" style="1" customWidth="1"/>
    <col min="5639" max="5639" width="6.5703125" style="1" bestFit="1" customWidth="1"/>
    <col min="5640" max="5644" width="12.7109375" style="1" customWidth="1"/>
    <col min="5645" max="5889" width="16.5703125" style="1"/>
    <col min="5890" max="5890" width="16.5703125" style="1" customWidth="1"/>
    <col min="5891" max="5894" width="12.7109375" style="1" customWidth="1"/>
    <col min="5895" max="5895" width="6.5703125" style="1" bestFit="1" customWidth="1"/>
    <col min="5896" max="5900" width="12.7109375" style="1" customWidth="1"/>
    <col min="5901" max="6145" width="16.5703125" style="1"/>
    <col min="6146" max="6146" width="16.5703125" style="1" customWidth="1"/>
    <col min="6147" max="6150" width="12.7109375" style="1" customWidth="1"/>
    <col min="6151" max="6151" width="6.5703125" style="1" bestFit="1" customWidth="1"/>
    <col min="6152" max="6156" width="12.7109375" style="1" customWidth="1"/>
    <col min="6157" max="6401" width="16.5703125" style="1"/>
    <col min="6402" max="6402" width="16.5703125" style="1" customWidth="1"/>
    <col min="6403" max="6406" width="12.7109375" style="1" customWidth="1"/>
    <col min="6407" max="6407" width="6.5703125" style="1" bestFit="1" customWidth="1"/>
    <col min="6408" max="6412" width="12.7109375" style="1" customWidth="1"/>
    <col min="6413" max="6657" width="16.5703125" style="1"/>
    <col min="6658" max="6658" width="16.5703125" style="1" customWidth="1"/>
    <col min="6659" max="6662" width="12.7109375" style="1" customWidth="1"/>
    <col min="6663" max="6663" width="6.5703125" style="1" bestFit="1" customWidth="1"/>
    <col min="6664" max="6668" width="12.7109375" style="1" customWidth="1"/>
    <col min="6669" max="6913" width="16.5703125" style="1"/>
    <col min="6914" max="6914" width="16.5703125" style="1" customWidth="1"/>
    <col min="6915" max="6918" width="12.7109375" style="1" customWidth="1"/>
    <col min="6919" max="6919" width="6.5703125" style="1" bestFit="1" customWidth="1"/>
    <col min="6920" max="6924" width="12.7109375" style="1" customWidth="1"/>
    <col min="6925" max="7169" width="16.5703125" style="1"/>
    <col min="7170" max="7170" width="16.5703125" style="1" customWidth="1"/>
    <col min="7171" max="7174" width="12.7109375" style="1" customWidth="1"/>
    <col min="7175" max="7175" width="6.5703125" style="1" bestFit="1" customWidth="1"/>
    <col min="7176" max="7180" width="12.7109375" style="1" customWidth="1"/>
    <col min="7181" max="7425" width="16.5703125" style="1"/>
    <col min="7426" max="7426" width="16.5703125" style="1" customWidth="1"/>
    <col min="7427" max="7430" width="12.7109375" style="1" customWidth="1"/>
    <col min="7431" max="7431" width="6.5703125" style="1" bestFit="1" customWidth="1"/>
    <col min="7432" max="7436" width="12.7109375" style="1" customWidth="1"/>
    <col min="7437" max="7681" width="16.5703125" style="1"/>
    <col min="7682" max="7682" width="16.5703125" style="1" customWidth="1"/>
    <col min="7683" max="7686" width="12.7109375" style="1" customWidth="1"/>
    <col min="7687" max="7687" width="6.5703125" style="1" bestFit="1" customWidth="1"/>
    <col min="7688" max="7692" width="12.7109375" style="1" customWidth="1"/>
    <col min="7693" max="7937" width="16.5703125" style="1"/>
    <col min="7938" max="7938" width="16.5703125" style="1" customWidth="1"/>
    <col min="7939" max="7942" width="12.7109375" style="1" customWidth="1"/>
    <col min="7943" max="7943" width="6.5703125" style="1" bestFit="1" customWidth="1"/>
    <col min="7944" max="7948" width="12.7109375" style="1" customWidth="1"/>
    <col min="7949" max="8193" width="16.5703125" style="1"/>
    <col min="8194" max="8194" width="16.5703125" style="1" customWidth="1"/>
    <col min="8195" max="8198" width="12.7109375" style="1" customWidth="1"/>
    <col min="8199" max="8199" width="6.5703125" style="1" bestFit="1" customWidth="1"/>
    <col min="8200" max="8204" width="12.7109375" style="1" customWidth="1"/>
    <col min="8205" max="8449" width="16.5703125" style="1"/>
    <col min="8450" max="8450" width="16.5703125" style="1" customWidth="1"/>
    <col min="8451" max="8454" width="12.7109375" style="1" customWidth="1"/>
    <col min="8455" max="8455" width="6.5703125" style="1" bestFit="1" customWidth="1"/>
    <col min="8456" max="8460" width="12.7109375" style="1" customWidth="1"/>
    <col min="8461" max="8705" width="16.5703125" style="1"/>
    <col min="8706" max="8706" width="16.5703125" style="1" customWidth="1"/>
    <col min="8707" max="8710" width="12.7109375" style="1" customWidth="1"/>
    <col min="8711" max="8711" width="6.5703125" style="1" bestFit="1" customWidth="1"/>
    <col min="8712" max="8716" width="12.7109375" style="1" customWidth="1"/>
    <col min="8717" max="8961" width="16.5703125" style="1"/>
    <col min="8962" max="8962" width="16.5703125" style="1" customWidth="1"/>
    <col min="8963" max="8966" width="12.7109375" style="1" customWidth="1"/>
    <col min="8967" max="8967" width="6.5703125" style="1" bestFit="1" customWidth="1"/>
    <col min="8968" max="8972" width="12.7109375" style="1" customWidth="1"/>
    <col min="8973" max="9217" width="16.5703125" style="1"/>
    <col min="9218" max="9218" width="16.5703125" style="1" customWidth="1"/>
    <col min="9219" max="9222" width="12.7109375" style="1" customWidth="1"/>
    <col min="9223" max="9223" width="6.5703125" style="1" bestFit="1" customWidth="1"/>
    <col min="9224" max="9228" width="12.7109375" style="1" customWidth="1"/>
    <col min="9229" max="9473" width="16.5703125" style="1"/>
    <col min="9474" max="9474" width="16.5703125" style="1" customWidth="1"/>
    <col min="9475" max="9478" width="12.7109375" style="1" customWidth="1"/>
    <col min="9479" max="9479" width="6.5703125" style="1" bestFit="1" customWidth="1"/>
    <col min="9480" max="9484" width="12.7109375" style="1" customWidth="1"/>
    <col min="9485" max="9729" width="16.5703125" style="1"/>
    <col min="9730" max="9730" width="16.5703125" style="1" customWidth="1"/>
    <col min="9731" max="9734" width="12.7109375" style="1" customWidth="1"/>
    <col min="9735" max="9735" width="6.5703125" style="1" bestFit="1" customWidth="1"/>
    <col min="9736" max="9740" width="12.7109375" style="1" customWidth="1"/>
    <col min="9741" max="9985" width="16.5703125" style="1"/>
    <col min="9986" max="9986" width="16.5703125" style="1" customWidth="1"/>
    <col min="9987" max="9990" width="12.7109375" style="1" customWidth="1"/>
    <col min="9991" max="9991" width="6.5703125" style="1" bestFit="1" customWidth="1"/>
    <col min="9992" max="9996" width="12.7109375" style="1" customWidth="1"/>
    <col min="9997" max="10241" width="16.5703125" style="1"/>
    <col min="10242" max="10242" width="16.5703125" style="1" customWidth="1"/>
    <col min="10243" max="10246" width="12.7109375" style="1" customWidth="1"/>
    <col min="10247" max="10247" width="6.5703125" style="1" bestFit="1" customWidth="1"/>
    <col min="10248" max="10252" width="12.7109375" style="1" customWidth="1"/>
    <col min="10253" max="10497" width="16.5703125" style="1"/>
    <col min="10498" max="10498" width="16.5703125" style="1" customWidth="1"/>
    <col min="10499" max="10502" width="12.7109375" style="1" customWidth="1"/>
    <col min="10503" max="10503" width="6.5703125" style="1" bestFit="1" customWidth="1"/>
    <col min="10504" max="10508" width="12.7109375" style="1" customWidth="1"/>
    <col min="10509" max="10753" width="16.5703125" style="1"/>
    <col min="10754" max="10754" width="16.5703125" style="1" customWidth="1"/>
    <col min="10755" max="10758" width="12.7109375" style="1" customWidth="1"/>
    <col min="10759" max="10759" width="6.5703125" style="1" bestFit="1" customWidth="1"/>
    <col min="10760" max="10764" width="12.7109375" style="1" customWidth="1"/>
    <col min="10765" max="11009" width="16.5703125" style="1"/>
    <col min="11010" max="11010" width="16.5703125" style="1" customWidth="1"/>
    <col min="11011" max="11014" width="12.7109375" style="1" customWidth="1"/>
    <col min="11015" max="11015" width="6.5703125" style="1" bestFit="1" customWidth="1"/>
    <col min="11016" max="11020" width="12.7109375" style="1" customWidth="1"/>
    <col min="11021" max="11265" width="16.5703125" style="1"/>
    <col min="11266" max="11266" width="16.5703125" style="1" customWidth="1"/>
    <col min="11267" max="11270" width="12.7109375" style="1" customWidth="1"/>
    <col min="11271" max="11271" width="6.5703125" style="1" bestFit="1" customWidth="1"/>
    <col min="11272" max="11276" width="12.7109375" style="1" customWidth="1"/>
    <col min="11277" max="11521" width="16.5703125" style="1"/>
    <col min="11522" max="11522" width="16.5703125" style="1" customWidth="1"/>
    <col min="11523" max="11526" width="12.7109375" style="1" customWidth="1"/>
    <col min="11527" max="11527" width="6.5703125" style="1" bestFit="1" customWidth="1"/>
    <col min="11528" max="11532" width="12.7109375" style="1" customWidth="1"/>
    <col min="11533" max="11777" width="16.5703125" style="1"/>
    <col min="11778" max="11778" width="16.5703125" style="1" customWidth="1"/>
    <col min="11779" max="11782" width="12.7109375" style="1" customWidth="1"/>
    <col min="11783" max="11783" width="6.5703125" style="1" bestFit="1" customWidth="1"/>
    <col min="11784" max="11788" width="12.7109375" style="1" customWidth="1"/>
    <col min="11789" max="12033" width="16.5703125" style="1"/>
    <col min="12034" max="12034" width="16.5703125" style="1" customWidth="1"/>
    <col min="12035" max="12038" width="12.7109375" style="1" customWidth="1"/>
    <col min="12039" max="12039" width="6.5703125" style="1" bestFit="1" customWidth="1"/>
    <col min="12040" max="12044" width="12.7109375" style="1" customWidth="1"/>
    <col min="12045" max="12289" width="16.5703125" style="1"/>
    <col min="12290" max="12290" width="16.5703125" style="1" customWidth="1"/>
    <col min="12291" max="12294" width="12.7109375" style="1" customWidth="1"/>
    <col min="12295" max="12295" width="6.5703125" style="1" bestFit="1" customWidth="1"/>
    <col min="12296" max="12300" width="12.7109375" style="1" customWidth="1"/>
    <col min="12301" max="12545" width="16.5703125" style="1"/>
    <col min="12546" max="12546" width="16.5703125" style="1" customWidth="1"/>
    <col min="12547" max="12550" width="12.7109375" style="1" customWidth="1"/>
    <col min="12551" max="12551" width="6.5703125" style="1" bestFit="1" customWidth="1"/>
    <col min="12552" max="12556" width="12.7109375" style="1" customWidth="1"/>
    <col min="12557" max="12801" width="16.5703125" style="1"/>
    <col min="12802" max="12802" width="16.5703125" style="1" customWidth="1"/>
    <col min="12803" max="12806" width="12.7109375" style="1" customWidth="1"/>
    <col min="12807" max="12807" width="6.5703125" style="1" bestFit="1" customWidth="1"/>
    <col min="12808" max="12812" width="12.7109375" style="1" customWidth="1"/>
    <col min="12813" max="13057" width="16.5703125" style="1"/>
    <col min="13058" max="13058" width="16.5703125" style="1" customWidth="1"/>
    <col min="13059" max="13062" width="12.7109375" style="1" customWidth="1"/>
    <col min="13063" max="13063" width="6.5703125" style="1" bestFit="1" customWidth="1"/>
    <col min="13064" max="13068" width="12.7109375" style="1" customWidth="1"/>
    <col min="13069" max="13313" width="16.5703125" style="1"/>
    <col min="13314" max="13314" width="16.5703125" style="1" customWidth="1"/>
    <col min="13315" max="13318" width="12.7109375" style="1" customWidth="1"/>
    <col min="13319" max="13319" width="6.5703125" style="1" bestFit="1" customWidth="1"/>
    <col min="13320" max="13324" width="12.7109375" style="1" customWidth="1"/>
    <col min="13325" max="13569" width="16.5703125" style="1"/>
    <col min="13570" max="13570" width="16.5703125" style="1" customWidth="1"/>
    <col min="13571" max="13574" width="12.7109375" style="1" customWidth="1"/>
    <col min="13575" max="13575" width="6.5703125" style="1" bestFit="1" customWidth="1"/>
    <col min="13576" max="13580" width="12.7109375" style="1" customWidth="1"/>
    <col min="13581" max="13825" width="16.5703125" style="1"/>
    <col min="13826" max="13826" width="16.5703125" style="1" customWidth="1"/>
    <col min="13827" max="13830" width="12.7109375" style="1" customWidth="1"/>
    <col min="13831" max="13831" width="6.5703125" style="1" bestFit="1" customWidth="1"/>
    <col min="13832" max="13836" width="12.7109375" style="1" customWidth="1"/>
    <col min="13837" max="14081" width="16.5703125" style="1"/>
    <col min="14082" max="14082" width="16.5703125" style="1" customWidth="1"/>
    <col min="14083" max="14086" width="12.7109375" style="1" customWidth="1"/>
    <col min="14087" max="14087" width="6.5703125" style="1" bestFit="1" customWidth="1"/>
    <col min="14088" max="14092" width="12.7109375" style="1" customWidth="1"/>
    <col min="14093" max="14337" width="16.5703125" style="1"/>
    <col min="14338" max="14338" width="16.5703125" style="1" customWidth="1"/>
    <col min="14339" max="14342" width="12.7109375" style="1" customWidth="1"/>
    <col min="14343" max="14343" width="6.5703125" style="1" bestFit="1" customWidth="1"/>
    <col min="14344" max="14348" width="12.7109375" style="1" customWidth="1"/>
    <col min="14349" max="14593" width="16.5703125" style="1"/>
    <col min="14594" max="14594" width="16.5703125" style="1" customWidth="1"/>
    <col min="14595" max="14598" width="12.7109375" style="1" customWidth="1"/>
    <col min="14599" max="14599" width="6.5703125" style="1" bestFit="1" customWidth="1"/>
    <col min="14600" max="14604" width="12.7109375" style="1" customWidth="1"/>
    <col min="14605" max="14849" width="16.5703125" style="1"/>
    <col min="14850" max="14850" width="16.5703125" style="1" customWidth="1"/>
    <col min="14851" max="14854" width="12.7109375" style="1" customWidth="1"/>
    <col min="14855" max="14855" width="6.5703125" style="1" bestFit="1" customWidth="1"/>
    <col min="14856" max="14860" width="12.7109375" style="1" customWidth="1"/>
    <col min="14861" max="15105" width="16.5703125" style="1"/>
    <col min="15106" max="15106" width="16.5703125" style="1" customWidth="1"/>
    <col min="15107" max="15110" width="12.7109375" style="1" customWidth="1"/>
    <col min="15111" max="15111" width="6.5703125" style="1" bestFit="1" customWidth="1"/>
    <col min="15112" max="15116" width="12.7109375" style="1" customWidth="1"/>
    <col min="15117" max="15361" width="16.5703125" style="1"/>
    <col min="15362" max="15362" width="16.5703125" style="1" customWidth="1"/>
    <col min="15363" max="15366" width="12.7109375" style="1" customWidth="1"/>
    <col min="15367" max="15367" width="6.5703125" style="1" bestFit="1" customWidth="1"/>
    <col min="15368" max="15372" width="12.7109375" style="1" customWidth="1"/>
    <col min="15373" max="15617" width="16.5703125" style="1"/>
    <col min="15618" max="15618" width="16.5703125" style="1" customWidth="1"/>
    <col min="15619" max="15622" width="12.7109375" style="1" customWidth="1"/>
    <col min="15623" max="15623" width="6.5703125" style="1" bestFit="1" customWidth="1"/>
    <col min="15624" max="15628" width="12.7109375" style="1" customWidth="1"/>
    <col min="15629" max="15873" width="16.5703125" style="1"/>
    <col min="15874" max="15874" width="16.5703125" style="1" customWidth="1"/>
    <col min="15875" max="15878" width="12.7109375" style="1" customWidth="1"/>
    <col min="15879" max="15879" width="6.5703125" style="1" bestFit="1" customWidth="1"/>
    <col min="15880" max="15884" width="12.7109375" style="1" customWidth="1"/>
    <col min="15885" max="16129" width="16.5703125" style="1"/>
    <col min="16130" max="16130" width="16.5703125" style="1" customWidth="1"/>
    <col min="16131" max="16134" width="12.7109375" style="1" customWidth="1"/>
    <col min="16135" max="16135" width="6.5703125" style="1" bestFit="1" customWidth="1"/>
    <col min="16136" max="16140" width="12.7109375" style="1" customWidth="1"/>
    <col min="16141" max="16384" width="16.5703125" style="1"/>
  </cols>
  <sheetData>
    <row r="1" spans="1:17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162"/>
      <c r="O1" s="186"/>
    </row>
    <row r="2" spans="1:17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86"/>
    </row>
    <row r="3" spans="1:17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162"/>
      <c r="O3" s="186"/>
    </row>
    <row r="4" spans="1:17" x14ac:dyDescent="0.25">
      <c r="A4" s="3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O4" s="186"/>
    </row>
    <row r="5" spans="1:17" x14ac:dyDescent="0.25">
      <c r="A5" s="3" t="s">
        <v>55</v>
      </c>
      <c r="B5" s="5"/>
      <c r="C5" s="5"/>
      <c r="D5" s="5"/>
      <c r="E5" s="6"/>
      <c r="F5" s="6"/>
      <c r="G5" s="149"/>
      <c r="H5" s="150"/>
      <c r="I5" s="149"/>
      <c r="O5" s="186"/>
    </row>
    <row r="6" spans="1:17" x14ac:dyDescent="0.25">
      <c r="A6" s="334" t="s">
        <v>54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O6" s="186"/>
    </row>
    <row r="7" spans="1:17" x14ac:dyDescent="0.25">
      <c r="A7" s="334" t="s">
        <v>61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O7" s="186"/>
    </row>
    <row r="8" spans="1:17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  <c r="O8" s="186"/>
    </row>
    <row r="9" spans="1:17" s="17" customForma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30"/>
      <c r="N9" s="166"/>
      <c r="O9" s="187"/>
      <c r="P9" s="142"/>
      <c r="Q9" s="142"/>
    </row>
    <row r="10" spans="1:17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M10" s="30"/>
      <c r="O10" s="186"/>
    </row>
    <row r="11" spans="1:17" s="17" customFormat="1" x14ac:dyDescent="0.25">
      <c r="A11" s="139" t="s">
        <v>18</v>
      </c>
      <c r="B11" s="14">
        <v>14556397.630000001</v>
      </c>
      <c r="C11" s="14">
        <v>2046704.01</v>
      </c>
      <c r="D11" s="11">
        <v>0</v>
      </c>
      <c r="E11" s="14">
        <v>527699.98</v>
      </c>
      <c r="F11" s="14">
        <f>+E11/C11</f>
        <v>0.25782916211709578</v>
      </c>
      <c r="G11" s="14">
        <f t="shared" ref="G11:G24" si="0">+C11+D11-E11</f>
        <v>1519004.03</v>
      </c>
      <c r="H11" s="11">
        <f>-38627.51+738885.86</f>
        <v>700258.35</v>
      </c>
      <c r="I11" s="14">
        <v>880435.69</v>
      </c>
      <c r="J11" s="14">
        <f>2490+59200.01</f>
        <v>61690.01</v>
      </c>
      <c r="K11" s="14">
        <f>H11+I11-J11</f>
        <v>1519004.03</v>
      </c>
      <c r="L11" s="15">
        <f>+F11</f>
        <v>0.25782916211709578</v>
      </c>
      <c r="M11" s="163"/>
      <c r="N11" s="62">
        <f>+K11-G11</f>
        <v>0</v>
      </c>
      <c r="O11" s="188">
        <f>+N11+N12</f>
        <v>0</v>
      </c>
      <c r="P11" s="153"/>
      <c r="Q11" s="142"/>
    </row>
    <row r="12" spans="1:17" x14ac:dyDescent="0.2">
      <c r="A12" s="139" t="s">
        <v>20</v>
      </c>
      <c r="B12" s="14">
        <v>25163492</v>
      </c>
      <c r="C12" s="11">
        <v>0</v>
      </c>
      <c r="D12" s="11">
        <v>0</v>
      </c>
      <c r="E12" s="14">
        <v>1347181.66</v>
      </c>
      <c r="F12" s="14" t="e">
        <f t="shared" ref="F12:F17" si="1">+E12/C12</f>
        <v>#DIV/0!</v>
      </c>
      <c r="G12" s="14">
        <f t="shared" si="0"/>
        <v>-1347181.66</v>
      </c>
      <c r="H12" s="11">
        <v>-1357639.66</v>
      </c>
      <c r="I12" s="14">
        <v>133200</v>
      </c>
      <c r="J12" s="14">
        <f>137707-14965</f>
        <v>122742</v>
      </c>
      <c r="K12" s="14">
        <f t="shared" ref="K12:K20" si="2">H12+I12-J12</f>
        <v>-1347181.66</v>
      </c>
      <c r="L12" s="15" t="e">
        <f t="shared" ref="L12:L24" si="3">+F12</f>
        <v>#DIV/0!</v>
      </c>
      <c r="M12" s="163"/>
      <c r="N12" s="62">
        <f>+K12-G12</f>
        <v>0</v>
      </c>
      <c r="O12" s="152"/>
      <c r="P12" s="151"/>
    </row>
    <row r="13" spans="1:17" x14ac:dyDescent="0.2">
      <c r="A13" s="139" t="s">
        <v>21</v>
      </c>
      <c r="B13" s="14">
        <v>185773</v>
      </c>
      <c r="C13" s="11">
        <v>0</v>
      </c>
      <c r="D13" s="11">
        <v>0</v>
      </c>
      <c r="E13" s="11">
        <v>0</v>
      </c>
      <c r="F13" s="14" t="e">
        <f t="shared" si="1"/>
        <v>#DIV/0!</v>
      </c>
      <c r="G13" s="14">
        <f t="shared" si="0"/>
        <v>0</v>
      </c>
      <c r="H13" s="11">
        <v>5000</v>
      </c>
      <c r="I13" s="14"/>
      <c r="J13" s="14">
        <v>5000</v>
      </c>
      <c r="K13" s="14">
        <f t="shared" si="2"/>
        <v>0</v>
      </c>
      <c r="L13" s="15" t="e">
        <f t="shared" si="3"/>
        <v>#DIV/0!</v>
      </c>
      <c r="M13" s="163"/>
      <c r="N13" s="62">
        <f>+K13-G13</f>
        <v>0</v>
      </c>
      <c r="O13" s="183"/>
    </row>
    <row r="14" spans="1:17" x14ac:dyDescent="0.2">
      <c r="A14" s="139" t="s">
        <v>22</v>
      </c>
      <c r="B14" s="14">
        <v>388669</v>
      </c>
      <c r="C14" s="11">
        <v>0</v>
      </c>
      <c r="D14" s="11">
        <v>0</v>
      </c>
      <c r="E14" s="11">
        <v>0</v>
      </c>
      <c r="F14" s="14" t="e">
        <f t="shared" si="1"/>
        <v>#DIV/0!</v>
      </c>
      <c r="G14" s="14">
        <f t="shared" si="0"/>
        <v>0</v>
      </c>
      <c r="H14" s="11">
        <v>5000</v>
      </c>
      <c r="I14" s="14"/>
      <c r="J14" s="14">
        <v>5000</v>
      </c>
      <c r="K14" s="14">
        <f t="shared" si="2"/>
        <v>0</v>
      </c>
      <c r="L14" s="15" t="e">
        <f t="shared" si="3"/>
        <v>#DIV/0!</v>
      </c>
      <c r="M14" s="163"/>
      <c r="N14" s="62">
        <f>+K14-G14</f>
        <v>0</v>
      </c>
      <c r="O14" s="183"/>
    </row>
    <row r="15" spans="1:17" x14ac:dyDescent="0.2">
      <c r="A15" s="139" t="s">
        <v>23</v>
      </c>
      <c r="B15" s="14">
        <v>1307315</v>
      </c>
      <c r="C15" s="11">
        <v>0</v>
      </c>
      <c r="D15" s="11">
        <v>0</v>
      </c>
      <c r="E15" s="11">
        <v>0</v>
      </c>
      <c r="F15" s="14" t="e">
        <f t="shared" si="1"/>
        <v>#DIV/0!</v>
      </c>
      <c r="G15" s="14">
        <f t="shared" si="0"/>
        <v>0</v>
      </c>
      <c r="H15" s="11">
        <v>5000</v>
      </c>
      <c r="I15" s="14"/>
      <c r="J15" s="14">
        <v>5000</v>
      </c>
      <c r="K15" s="14">
        <f t="shared" si="2"/>
        <v>0</v>
      </c>
      <c r="L15" s="15" t="e">
        <f t="shared" si="3"/>
        <v>#DIV/0!</v>
      </c>
      <c r="M15" s="163"/>
      <c r="N15" s="62">
        <f t="shared" ref="N15:N20" si="4">+K15-G15</f>
        <v>0</v>
      </c>
      <c r="O15" s="183"/>
    </row>
    <row r="16" spans="1:17" x14ac:dyDescent="0.2">
      <c r="A16" s="139" t="s">
        <v>24</v>
      </c>
      <c r="B16" s="14">
        <v>14002815</v>
      </c>
      <c r="C16" s="11">
        <v>0</v>
      </c>
      <c r="D16" s="11">
        <v>0</v>
      </c>
      <c r="E16" s="14">
        <v>902579</v>
      </c>
      <c r="F16" s="14" t="e">
        <f t="shared" si="1"/>
        <v>#DIV/0!</v>
      </c>
      <c r="G16" s="14">
        <f t="shared" si="0"/>
        <v>-902579</v>
      </c>
      <c r="H16" s="11">
        <v>-10000</v>
      </c>
      <c r="I16" s="14">
        <v>13000</v>
      </c>
      <c r="J16" s="14">
        <f>57772+847807</f>
        <v>905579</v>
      </c>
      <c r="K16" s="14">
        <f t="shared" si="2"/>
        <v>-902579</v>
      </c>
      <c r="L16" s="15" t="e">
        <f t="shared" si="3"/>
        <v>#DIV/0!</v>
      </c>
      <c r="M16" s="163"/>
      <c r="N16" s="62">
        <f t="shared" si="4"/>
        <v>0</v>
      </c>
      <c r="O16" s="183"/>
      <c r="P16" s="151">
        <f>+N11-N22</f>
        <v>0</v>
      </c>
    </row>
    <row r="17" spans="1:19" x14ac:dyDescent="0.2">
      <c r="A17" s="139" t="s">
        <v>25</v>
      </c>
      <c r="B17" s="14">
        <v>463393</v>
      </c>
      <c r="C17" s="11">
        <v>0</v>
      </c>
      <c r="D17" s="11">
        <v>0</v>
      </c>
      <c r="E17" s="14">
        <v>0</v>
      </c>
      <c r="F17" s="14" t="e">
        <f t="shared" si="1"/>
        <v>#DIV/0!</v>
      </c>
      <c r="G17" s="14">
        <f t="shared" si="0"/>
        <v>0</v>
      </c>
      <c r="H17" s="11">
        <v>5000</v>
      </c>
      <c r="I17" s="14"/>
      <c r="J17" s="14">
        <v>5000</v>
      </c>
      <c r="K17" s="14">
        <f t="shared" si="2"/>
        <v>0</v>
      </c>
      <c r="L17" s="15" t="e">
        <f t="shared" si="3"/>
        <v>#DIV/0!</v>
      </c>
      <c r="M17" s="163"/>
      <c r="N17" s="62">
        <f t="shared" si="4"/>
        <v>0</v>
      </c>
      <c r="O17" s="183"/>
    </row>
    <row r="18" spans="1:19" x14ac:dyDescent="0.2">
      <c r="A18" s="139" t="s">
        <v>53</v>
      </c>
      <c r="B18" s="14">
        <v>0</v>
      </c>
      <c r="C18" s="11">
        <v>0</v>
      </c>
      <c r="D18" s="11">
        <v>0</v>
      </c>
      <c r="E18" s="11">
        <v>0</v>
      </c>
      <c r="F18" s="14">
        <v>0</v>
      </c>
      <c r="G18" s="14">
        <f t="shared" si="0"/>
        <v>0</v>
      </c>
      <c r="H18" s="11">
        <v>0</v>
      </c>
      <c r="I18" s="14"/>
      <c r="J18" s="14">
        <v>0</v>
      </c>
      <c r="K18" s="14">
        <f t="shared" si="2"/>
        <v>0</v>
      </c>
      <c r="L18" s="15">
        <f t="shared" si="3"/>
        <v>0</v>
      </c>
      <c r="M18" s="163"/>
      <c r="N18" s="62">
        <f t="shared" si="4"/>
        <v>0</v>
      </c>
      <c r="O18" s="183"/>
    </row>
    <row r="19" spans="1:19" x14ac:dyDescent="0.2">
      <c r="A19" s="139" t="s">
        <v>27</v>
      </c>
      <c r="B19" s="14">
        <v>0</v>
      </c>
      <c r="C19" s="11">
        <v>0</v>
      </c>
      <c r="D19" s="11">
        <v>0</v>
      </c>
      <c r="E19" s="11">
        <v>0</v>
      </c>
      <c r="F19" s="14">
        <v>0</v>
      </c>
      <c r="G19" s="14">
        <f t="shared" si="0"/>
        <v>0</v>
      </c>
      <c r="H19" s="11">
        <v>0</v>
      </c>
      <c r="I19" s="14"/>
      <c r="J19" s="14">
        <v>0</v>
      </c>
      <c r="K19" s="14">
        <f t="shared" si="2"/>
        <v>0</v>
      </c>
      <c r="L19" s="15">
        <f t="shared" si="3"/>
        <v>0</v>
      </c>
      <c r="M19" s="163"/>
      <c r="N19" s="62">
        <f t="shared" si="4"/>
        <v>0</v>
      </c>
      <c r="O19" s="183"/>
    </row>
    <row r="20" spans="1:19" x14ac:dyDescent="0.2">
      <c r="A20" s="139" t="s">
        <v>28</v>
      </c>
      <c r="B20" s="14">
        <v>47686</v>
      </c>
      <c r="C20" s="11">
        <v>0</v>
      </c>
      <c r="D20" s="11">
        <v>0</v>
      </c>
      <c r="E20" s="11">
        <v>0</v>
      </c>
      <c r="F20" s="14">
        <v>0</v>
      </c>
      <c r="G20" s="14">
        <f t="shared" si="0"/>
        <v>0</v>
      </c>
      <c r="H20" s="11">
        <v>5000</v>
      </c>
      <c r="I20" s="14"/>
      <c r="J20" s="14">
        <v>5000</v>
      </c>
      <c r="K20" s="14">
        <f t="shared" si="2"/>
        <v>0</v>
      </c>
      <c r="L20" s="15">
        <f t="shared" si="3"/>
        <v>0</v>
      </c>
      <c r="M20" s="163"/>
      <c r="N20" s="62">
        <f t="shared" si="4"/>
        <v>0</v>
      </c>
      <c r="O20" s="184"/>
    </row>
    <row r="21" spans="1:19" x14ac:dyDescent="0.2">
      <c r="A21" s="139" t="s">
        <v>29</v>
      </c>
      <c r="B21" s="14">
        <v>27972730</v>
      </c>
      <c r="C21" s="11">
        <v>0</v>
      </c>
      <c r="D21" s="11">
        <v>0</v>
      </c>
      <c r="E21" s="11">
        <v>0</v>
      </c>
      <c r="F21" s="14" t="e">
        <f>+E21/C21</f>
        <v>#DIV/0!</v>
      </c>
      <c r="G21" s="14">
        <f t="shared" si="0"/>
        <v>0</v>
      </c>
      <c r="H21" s="11">
        <v>5000</v>
      </c>
      <c r="I21" s="14"/>
      <c r="J21" s="14">
        <v>5000</v>
      </c>
      <c r="K21" s="14">
        <f>H21+I21-J21</f>
        <v>0</v>
      </c>
      <c r="L21" s="15" t="e">
        <f t="shared" si="3"/>
        <v>#DIV/0!</v>
      </c>
      <c r="M21" s="163"/>
      <c r="N21" s="62">
        <f t="shared" ref="N21:N29" si="5">+K21-G21</f>
        <v>0</v>
      </c>
      <c r="O21" s="184"/>
    </row>
    <row r="22" spans="1:19" x14ac:dyDescent="0.2">
      <c r="A22" s="139" t="s">
        <v>30</v>
      </c>
      <c r="B22" s="14">
        <v>21170980</v>
      </c>
      <c r="C22" s="11">
        <v>0</v>
      </c>
      <c r="D22" s="11">
        <v>0</v>
      </c>
      <c r="E22" s="14">
        <v>1134960</v>
      </c>
      <c r="F22" s="14" t="e">
        <f>+E22/C22</f>
        <v>#DIV/0!</v>
      </c>
      <c r="G22" s="14">
        <f t="shared" si="0"/>
        <v>-1134960</v>
      </c>
      <c r="H22" s="11">
        <v>-98298.31</v>
      </c>
      <c r="I22" s="14">
        <v>-600</v>
      </c>
      <c r="J22" s="14">
        <f>17112+1018949.69</f>
        <v>1036061.69</v>
      </c>
      <c r="K22" s="14">
        <f>H22+I22-J22</f>
        <v>-1134960</v>
      </c>
      <c r="L22" s="15" t="e">
        <f t="shared" si="3"/>
        <v>#DIV/0!</v>
      </c>
      <c r="M22" s="163"/>
      <c r="N22" s="107">
        <f t="shared" si="5"/>
        <v>0</v>
      </c>
      <c r="O22" s="185"/>
      <c r="R22" s="141"/>
      <c r="S22" s="144"/>
    </row>
    <row r="23" spans="1:19" x14ac:dyDescent="0.2">
      <c r="A23" s="139" t="s">
        <v>58</v>
      </c>
      <c r="B23" s="14">
        <v>0</v>
      </c>
      <c r="C23" s="11">
        <v>0</v>
      </c>
      <c r="D23" s="11">
        <v>0</v>
      </c>
      <c r="E23" s="14">
        <v>0</v>
      </c>
      <c r="F23" s="14" t="e">
        <f>+E23/C23</f>
        <v>#DIV/0!</v>
      </c>
      <c r="G23" s="14">
        <f t="shared" si="0"/>
        <v>0</v>
      </c>
      <c r="H23" s="11">
        <v>0</v>
      </c>
      <c r="I23" s="14"/>
      <c r="J23" s="14"/>
      <c r="K23" s="14">
        <f>H23+I23-J23</f>
        <v>0</v>
      </c>
      <c r="L23" s="15" t="e">
        <f t="shared" si="3"/>
        <v>#DIV/0!</v>
      </c>
      <c r="M23" s="163"/>
      <c r="N23" s="107">
        <f t="shared" si="5"/>
        <v>0</v>
      </c>
      <c r="O23" s="185"/>
      <c r="R23" s="141"/>
      <c r="S23" s="144"/>
    </row>
    <row r="24" spans="1:19" x14ac:dyDescent="0.2">
      <c r="A24" s="139" t="s">
        <v>57</v>
      </c>
      <c r="B24" s="14">
        <v>0</v>
      </c>
      <c r="C24" s="11">
        <v>0</v>
      </c>
      <c r="D24" s="11">
        <v>0</v>
      </c>
      <c r="E24" s="14">
        <v>0</v>
      </c>
      <c r="F24" s="14" t="e">
        <f>+E24/C24</f>
        <v>#DIV/0!</v>
      </c>
      <c r="G24" s="14">
        <f t="shared" si="0"/>
        <v>0</v>
      </c>
      <c r="H24" s="11">
        <v>0</v>
      </c>
      <c r="I24" s="14"/>
      <c r="J24" s="14"/>
      <c r="K24" s="14">
        <f>H24+I24-J24</f>
        <v>0</v>
      </c>
      <c r="L24" s="15" t="e">
        <f t="shared" si="3"/>
        <v>#DIV/0!</v>
      </c>
      <c r="M24" s="163"/>
      <c r="N24" s="107">
        <f t="shared" si="5"/>
        <v>0</v>
      </c>
      <c r="O24" s="185"/>
      <c r="R24" s="141"/>
      <c r="S24" s="144"/>
    </row>
    <row r="25" spans="1:19" s="5" customFormat="1" x14ac:dyDescent="0.2">
      <c r="A25" s="20" t="s">
        <v>60</v>
      </c>
      <c r="B25" s="21">
        <f>SUM(B11:B24)</f>
        <v>105259250.63</v>
      </c>
      <c r="C25" s="21">
        <f>SUM(C11:C24)</f>
        <v>2046704.01</v>
      </c>
      <c r="D25" s="21">
        <f>SUM(D11:D24)</f>
        <v>0</v>
      </c>
      <c r="E25" s="21">
        <f>SUM(E11:E24)</f>
        <v>3912420.6399999997</v>
      </c>
      <c r="F25" s="21" t="e">
        <f>SUM(F11:F22)</f>
        <v>#DIV/0!</v>
      </c>
      <c r="G25" s="21">
        <f>SUM(G11:G22)</f>
        <v>-1865716.63</v>
      </c>
      <c r="H25" s="21">
        <f>SUM(H11:H24)</f>
        <v>-735679.61999999988</v>
      </c>
      <c r="I25" s="21">
        <f>SUM(I11:I22)</f>
        <v>1026035.69</v>
      </c>
      <c r="J25" s="21">
        <f>SUM(J11:J22)</f>
        <v>2156072.7000000002</v>
      </c>
      <c r="K25" s="21">
        <f>SUM(K11:K22)</f>
        <v>-1865716.63</v>
      </c>
      <c r="L25" s="23"/>
      <c r="M25" s="164"/>
      <c r="N25" s="61">
        <f t="shared" si="5"/>
        <v>0</v>
      </c>
      <c r="O25" s="174"/>
      <c r="P25" s="143"/>
      <c r="Q25" s="143"/>
    </row>
    <row r="26" spans="1:19" s="17" customFormat="1" x14ac:dyDescent="0.25">
      <c r="A26" s="139" t="s">
        <v>18</v>
      </c>
      <c r="B26" s="10">
        <v>9668787.5</v>
      </c>
      <c r="C26" s="10">
        <f>+B26</f>
        <v>9668787.5</v>
      </c>
      <c r="D26" s="11">
        <v>0</v>
      </c>
      <c r="E26" s="10">
        <v>8808992.1099999994</v>
      </c>
      <c r="F26" s="12">
        <f>+E26/C26</f>
        <v>0.91107515911379777</v>
      </c>
      <c r="G26" s="10">
        <f t="shared" ref="G26:G40" si="6">+C26+D26-E26</f>
        <v>859795.3900000006</v>
      </c>
      <c r="H26" s="11">
        <f>384.17+701529.49</f>
        <v>701913.66</v>
      </c>
      <c r="I26" s="14">
        <f>201777.1+49054.32+10000+17400</f>
        <v>278231.42000000004</v>
      </c>
      <c r="J26" s="14">
        <f>42293+3275.91+3277.52+71503.26</f>
        <v>120349.69</v>
      </c>
      <c r="K26" s="14">
        <f>H26+I26-J26</f>
        <v>859795.39000000013</v>
      </c>
      <c r="L26" s="15">
        <f>+F26</f>
        <v>0.91107515911379777</v>
      </c>
      <c r="M26" s="163"/>
      <c r="N26" s="61">
        <f t="shared" si="5"/>
        <v>0</v>
      </c>
      <c r="O26" s="171">
        <f>+N26+N27</f>
        <v>0</v>
      </c>
      <c r="P26" s="153"/>
      <c r="Q26" s="142"/>
    </row>
    <row r="27" spans="1:19" x14ac:dyDescent="0.2">
      <c r="A27" s="139" t="s">
        <v>20</v>
      </c>
      <c r="B27" s="10">
        <v>27138333.23</v>
      </c>
      <c r="C27" s="10">
        <f t="shared" ref="C27:C37" si="7">+B27</f>
        <v>27138333.23</v>
      </c>
      <c r="D27" s="11">
        <v>0</v>
      </c>
      <c r="E27" s="10">
        <v>26415966.23</v>
      </c>
      <c r="F27" s="12">
        <f t="shared" ref="F27:F32" si="8">+E27/C27</f>
        <v>0.97338204251978666</v>
      </c>
      <c r="G27" s="10">
        <f t="shared" si="6"/>
        <v>722367</v>
      </c>
      <c r="H27" s="13">
        <v>2108137.33</v>
      </c>
      <c r="I27" s="14">
        <f>181846+1000</f>
        <v>182846</v>
      </c>
      <c r="J27" s="14">
        <f>1307677+16708.93+21550.06+222680.34</f>
        <v>1568616.33</v>
      </c>
      <c r="K27" s="14">
        <f t="shared" ref="K27:K35" si="9">H27+I27-J27</f>
        <v>722367</v>
      </c>
      <c r="L27" s="15">
        <f t="shared" ref="L27:L40" si="10">+F27</f>
        <v>0.97338204251978666</v>
      </c>
      <c r="M27" s="163"/>
      <c r="N27" s="61">
        <f t="shared" si="5"/>
        <v>0</v>
      </c>
      <c r="O27" s="172"/>
      <c r="P27" s="151"/>
    </row>
    <row r="28" spans="1:19" x14ac:dyDescent="0.2">
      <c r="A28" s="139" t="s">
        <v>21</v>
      </c>
      <c r="B28" s="10">
        <v>321506.03999999998</v>
      </c>
      <c r="C28" s="10">
        <f t="shared" si="7"/>
        <v>321506.03999999998</v>
      </c>
      <c r="D28" s="11">
        <v>0</v>
      </c>
      <c r="E28" s="11">
        <v>280892.37</v>
      </c>
      <c r="F28" s="12">
        <f t="shared" si="8"/>
        <v>0.87367680557416594</v>
      </c>
      <c r="G28" s="10">
        <f t="shared" si="6"/>
        <v>40613.669999999984</v>
      </c>
      <c r="H28" s="13">
        <v>40613.67</v>
      </c>
      <c r="I28" s="14">
        <v>0</v>
      </c>
      <c r="J28" s="14">
        <v>0</v>
      </c>
      <c r="K28" s="14">
        <f t="shared" si="9"/>
        <v>40613.67</v>
      </c>
      <c r="L28" s="15">
        <f t="shared" si="10"/>
        <v>0.87367680557416594</v>
      </c>
      <c r="M28" s="163"/>
      <c r="N28" s="61">
        <f t="shared" si="5"/>
        <v>0</v>
      </c>
    </row>
    <row r="29" spans="1:19" x14ac:dyDescent="0.2">
      <c r="A29" s="139" t="s">
        <v>22</v>
      </c>
      <c r="B29" s="10">
        <v>570803.89</v>
      </c>
      <c r="C29" s="10">
        <f t="shared" si="7"/>
        <v>570803.89</v>
      </c>
      <c r="D29" s="11">
        <v>0</v>
      </c>
      <c r="E29" s="11">
        <v>491970.23</v>
      </c>
      <c r="F29" s="12">
        <f t="shared" si="8"/>
        <v>0.86189011430878648</v>
      </c>
      <c r="G29" s="10">
        <f t="shared" si="6"/>
        <v>78833.660000000033</v>
      </c>
      <c r="H29" s="13">
        <v>78833.66</v>
      </c>
      <c r="I29" s="14">
        <v>0</v>
      </c>
      <c r="J29" s="14">
        <v>0</v>
      </c>
      <c r="K29" s="14">
        <f t="shared" si="9"/>
        <v>78833.66</v>
      </c>
      <c r="L29" s="15">
        <f t="shared" si="10"/>
        <v>0.86189011430878648</v>
      </c>
      <c r="M29" s="163"/>
      <c r="N29" s="61">
        <f t="shared" si="5"/>
        <v>0</v>
      </c>
    </row>
    <row r="30" spans="1:19" x14ac:dyDescent="0.2">
      <c r="A30" s="139" t="s">
        <v>23</v>
      </c>
      <c r="B30" s="10">
        <v>1307693.44</v>
      </c>
      <c r="C30" s="10">
        <f t="shared" si="7"/>
        <v>1307693.44</v>
      </c>
      <c r="D30" s="11">
        <v>0</v>
      </c>
      <c r="E30" s="11">
        <v>1273287.1499999999</v>
      </c>
      <c r="F30" s="12">
        <f t="shared" si="8"/>
        <v>0.9736893304290033</v>
      </c>
      <c r="G30" s="10">
        <f t="shared" si="6"/>
        <v>34406.290000000037</v>
      </c>
      <c r="H30" s="13">
        <v>34406.29</v>
      </c>
      <c r="I30" s="14">
        <v>0</v>
      </c>
      <c r="J30" s="14">
        <v>0</v>
      </c>
      <c r="K30" s="14">
        <f t="shared" si="9"/>
        <v>34406.29</v>
      </c>
      <c r="L30" s="15">
        <f t="shared" si="10"/>
        <v>0.9736893304290033</v>
      </c>
      <c r="M30" s="163"/>
      <c r="N30" s="61">
        <f t="shared" ref="N30:N35" si="11">+K30-G30</f>
        <v>0</v>
      </c>
    </row>
    <row r="31" spans="1:19" x14ac:dyDescent="0.2">
      <c r="A31" s="139" t="s">
        <v>24</v>
      </c>
      <c r="B31" s="10">
        <v>14234360.859999999</v>
      </c>
      <c r="C31" s="10">
        <f t="shared" si="7"/>
        <v>14234360.859999999</v>
      </c>
      <c r="D31" s="11">
        <v>0</v>
      </c>
      <c r="E31" s="10">
        <v>14197791.76</v>
      </c>
      <c r="F31" s="12">
        <f t="shared" si="8"/>
        <v>0.99743092785410814</v>
      </c>
      <c r="G31" s="10">
        <f t="shared" si="6"/>
        <v>36569.099999999627</v>
      </c>
      <c r="H31" s="13">
        <v>500343.1</v>
      </c>
      <c r="I31" s="14">
        <f>15553</f>
        <v>15553</v>
      </c>
      <c r="J31" s="14">
        <f>280823+198504</f>
        <v>479327</v>
      </c>
      <c r="K31" s="14">
        <f t="shared" si="9"/>
        <v>36569.099999999977</v>
      </c>
      <c r="L31" s="15">
        <f t="shared" si="10"/>
        <v>0.99743092785410814</v>
      </c>
      <c r="M31" s="163"/>
      <c r="N31" s="61">
        <f t="shared" si="11"/>
        <v>3.4924596548080444E-10</v>
      </c>
      <c r="P31" s="151">
        <f>+N26-N37</f>
        <v>4.6566128730773926E-10</v>
      </c>
    </row>
    <row r="32" spans="1:19" x14ac:dyDescent="0.2">
      <c r="A32" s="139" t="s">
        <v>25</v>
      </c>
      <c r="B32" s="10">
        <v>658261.61</v>
      </c>
      <c r="C32" s="10">
        <f t="shared" si="7"/>
        <v>658261.61</v>
      </c>
      <c r="D32" s="11">
        <v>0</v>
      </c>
      <c r="E32" s="10">
        <v>367499.68</v>
      </c>
      <c r="F32" s="12">
        <f t="shared" si="8"/>
        <v>0.55828818575641981</v>
      </c>
      <c r="G32" s="10">
        <f t="shared" si="6"/>
        <v>290761.93</v>
      </c>
      <c r="H32" s="13">
        <v>290761.93</v>
      </c>
      <c r="I32" s="14">
        <v>0</v>
      </c>
      <c r="J32" s="14">
        <v>0</v>
      </c>
      <c r="K32" s="14">
        <f t="shared" si="9"/>
        <v>290761.93</v>
      </c>
      <c r="L32" s="15">
        <f t="shared" si="10"/>
        <v>0.55828818575641981</v>
      </c>
      <c r="M32" s="163"/>
      <c r="N32" s="61">
        <f t="shared" si="11"/>
        <v>0</v>
      </c>
    </row>
    <row r="33" spans="1:19" x14ac:dyDescent="0.2">
      <c r="A33" s="139" t="s">
        <v>53</v>
      </c>
      <c r="B33" s="10">
        <v>158979.12</v>
      </c>
      <c r="C33" s="10">
        <f t="shared" si="7"/>
        <v>158979.12</v>
      </c>
      <c r="D33" s="11">
        <v>0</v>
      </c>
      <c r="E33" s="11">
        <v>0</v>
      </c>
      <c r="F33" s="12">
        <v>0</v>
      </c>
      <c r="G33" s="14">
        <f t="shared" si="6"/>
        <v>158979.12</v>
      </c>
      <c r="H33" s="11">
        <v>168979.12</v>
      </c>
      <c r="I33" s="14">
        <v>0</v>
      </c>
      <c r="J33" s="14">
        <v>10000</v>
      </c>
      <c r="K33" s="14">
        <f t="shared" si="9"/>
        <v>158979.12</v>
      </c>
      <c r="L33" s="15">
        <f t="shared" si="10"/>
        <v>0</v>
      </c>
      <c r="M33" s="163"/>
      <c r="N33" s="61">
        <f t="shared" si="11"/>
        <v>0</v>
      </c>
    </row>
    <row r="34" spans="1:19" x14ac:dyDescent="0.2">
      <c r="A34" s="139" t="s">
        <v>27</v>
      </c>
      <c r="B34" s="10"/>
      <c r="C34" s="10">
        <f t="shared" si="7"/>
        <v>0</v>
      </c>
      <c r="D34" s="11">
        <v>0</v>
      </c>
      <c r="E34" s="11">
        <v>0</v>
      </c>
      <c r="F34" s="12">
        <v>0</v>
      </c>
      <c r="G34" s="14">
        <f t="shared" si="6"/>
        <v>0</v>
      </c>
      <c r="H34" s="11">
        <v>0</v>
      </c>
      <c r="I34" s="14">
        <v>0</v>
      </c>
      <c r="J34" s="14">
        <v>0</v>
      </c>
      <c r="K34" s="14">
        <f t="shared" si="9"/>
        <v>0</v>
      </c>
      <c r="L34" s="15">
        <f t="shared" si="10"/>
        <v>0</v>
      </c>
      <c r="M34" s="163"/>
      <c r="N34" s="61">
        <f t="shared" si="11"/>
        <v>0</v>
      </c>
    </row>
    <row r="35" spans="1:19" x14ac:dyDescent="0.2">
      <c r="A35" s="139" t="s">
        <v>28</v>
      </c>
      <c r="B35" s="10">
        <v>47798.07</v>
      </c>
      <c r="C35" s="10">
        <f t="shared" si="7"/>
        <v>47798.07</v>
      </c>
      <c r="D35" s="11">
        <v>0</v>
      </c>
      <c r="E35" s="11">
        <v>23516.14</v>
      </c>
      <c r="F35" s="12">
        <v>0</v>
      </c>
      <c r="G35" s="14">
        <f t="shared" si="6"/>
        <v>24281.93</v>
      </c>
      <c r="H35" s="11">
        <v>24281.93</v>
      </c>
      <c r="I35" s="14">
        <v>0</v>
      </c>
      <c r="J35" s="14">
        <v>0</v>
      </c>
      <c r="K35" s="14">
        <f t="shared" si="9"/>
        <v>24281.93</v>
      </c>
      <c r="L35" s="15">
        <f t="shared" si="10"/>
        <v>0</v>
      </c>
      <c r="M35" s="163"/>
      <c r="N35" s="61">
        <f t="shared" si="11"/>
        <v>0</v>
      </c>
      <c r="O35" s="172"/>
    </row>
    <row r="36" spans="1:19" x14ac:dyDescent="0.2">
      <c r="A36" s="139" t="s">
        <v>29</v>
      </c>
      <c r="B36" s="10">
        <v>27972730</v>
      </c>
      <c r="C36" s="10">
        <f t="shared" si="7"/>
        <v>27972730</v>
      </c>
      <c r="D36" s="11">
        <v>186451.15</v>
      </c>
      <c r="E36" s="11">
        <v>27809818.059999999</v>
      </c>
      <c r="F36" s="12">
        <f>+E36/C36</f>
        <v>0.99417604431172779</v>
      </c>
      <c r="G36" s="10">
        <f t="shared" si="6"/>
        <v>349363.08999999985</v>
      </c>
      <c r="H36" s="13">
        <v>722517.26</v>
      </c>
      <c r="I36" s="14">
        <v>163200.16</v>
      </c>
      <c r="J36" s="14">
        <f>323339.08+164255.75+48759.5</f>
        <v>536354.33000000007</v>
      </c>
      <c r="K36" s="14">
        <f>H36+I36-J36</f>
        <v>349363.08999999997</v>
      </c>
      <c r="L36" s="15">
        <f t="shared" si="10"/>
        <v>0.99417604431172779</v>
      </c>
      <c r="M36" s="163"/>
      <c r="N36" s="61">
        <f t="shared" ref="N36:N41" si="12">+K36-G36</f>
        <v>0</v>
      </c>
      <c r="O36" s="172"/>
    </row>
    <row r="37" spans="1:19" x14ac:dyDescent="0.2">
      <c r="A37" s="139" t="s">
        <v>30</v>
      </c>
      <c r="B37" s="10">
        <v>21170988.52</v>
      </c>
      <c r="C37" s="10">
        <f t="shared" si="7"/>
        <v>21170988.52</v>
      </c>
      <c r="D37" s="11">
        <v>0</v>
      </c>
      <c r="E37" s="10">
        <v>21163370.789999999</v>
      </c>
      <c r="F37" s="12">
        <f>+E37/C37</f>
        <v>0.9996401807127332</v>
      </c>
      <c r="G37" s="10">
        <f t="shared" si="6"/>
        <v>7617.730000000447</v>
      </c>
      <c r="H37" s="13">
        <v>139200.95999999999</v>
      </c>
      <c r="I37" s="14">
        <f>63664.06+25043.71</f>
        <v>88707.76999999999</v>
      </c>
      <c r="J37" s="14">
        <f>170257+6000+44034</f>
        <v>220291</v>
      </c>
      <c r="K37" s="14">
        <f>H37+I37-J37</f>
        <v>7617.7299999999814</v>
      </c>
      <c r="L37" s="15">
        <f t="shared" si="10"/>
        <v>0.9996401807127332</v>
      </c>
      <c r="M37" s="163"/>
      <c r="N37" s="167">
        <f t="shared" si="12"/>
        <v>-4.6566128730773926E-10</v>
      </c>
      <c r="O37" s="173"/>
      <c r="R37" s="141"/>
      <c r="S37" s="144"/>
    </row>
    <row r="38" spans="1:19" ht="27" x14ac:dyDescent="0.2">
      <c r="A38" s="139" t="s">
        <v>56</v>
      </c>
      <c r="B38" s="10">
        <v>1500000</v>
      </c>
      <c r="C38" s="10">
        <v>1500000</v>
      </c>
      <c r="D38" s="11">
        <v>0</v>
      </c>
      <c r="E38" s="10">
        <v>1499955.2</v>
      </c>
      <c r="F38" s="12">
        <f>+E38/C38</f>
        <v>0.99997013333333329</v>
      </c>
      <c r="G38" s="10">
        <f t="shared" si="6"/>
        <v>44.800000000046566</v>
      </c>
      <c r="H38" s="13">
        <v>5044.8</v>
      </c>
      <c r="I38" s="14">
        <v>0</v>
      </c>
      <c r="J38" s="14">
        <v>5000</v>
      </c>
      <c r="K38" s="14">
        <f>H38+I38-J38</f>
        <v>44.800000000000182</v>
      </c>
      <c r="L38" s="15">
        <f t="shared" si="10"/>
        <v>0.99997013333333329</v>
      </c>
      <c r="M38" s="163"/>
      <c r="N38" s="167">
        <f t="shared" si="12"/>
        <v>-4.638422979041934E-11</v>
      </c>
      <c r="O38" s="173"/>
      <c r="R38" s="141"/>
      <c r="S38" s="144"/>
    </row>
    <row r="39" spans="1:19" x14ac:dyDescent="0.2">
      <c r="A39" s="139" t="s">
        <v>58</v>
      </c>
      <c r="B39" s="10">
        <v>8800000</v>
      </c>
      <c r="C39" s="10">
        <f>+B39</f>
        <v>8800000</v>
      </c>
      <c r="D39" s="11">
        <v>0</v>
      </c>
      <c r="E39" s="10">
        <v>8793327.9700000007</v>
      </c>
      <c r="F39" s="12">
        <f>+E39/C39</f>
        <v>0.99924181477272733</v>
      </c>
      <c r="G39" s="10">
        <f t="shared" si="6"/>
        <v>6672.0299999993294</v>
      </c>
      <c r="H39" s="13">
        <v>136749.53</v>
      </c>
      <c r="I39" s="14">
        <v>0</v>
      </c>
      <c r="J39" s="14">
        <f>75804.55+37902.27+11370.68+5000</f>
        <v>130077.5</v>
      </c>
      <c r="K39" s="14">
        <f>H39+I39-J39</f>
        <v>6672.0299999999988</v>
      </c>
      <c r="L39" s="15">
        <f t="shared" si="10"/>
        <v>0.99924181477272733</v>
      </c>
      <c r="M39" s="163"/>
      <c r="N39" s="167">
        <f t="shared" si="12"/>
        <v>6.6938810050487518E-10</v>
      </c>
      <c r="O39" s="173"/>
      <c r="R39" s="141"/>
      <c r="S39" s="144"/>
    </row>
    <row r="40" spans="1:19" x14ac:dyDescent="0.2">
      <c r="A40" s="139" t="s">
        <v>57</v>
      </c>
      <c r="B40" s="10">
        <v>3362600</v>
      </c>
      <c r="C40" s="10">
        <f>+B40</f>
        <v>3362600</v>
      </c>
      <c r="D40" s="11">
        <v>0</v>
      </c>
      <c r="E40" s="10">
        <f>1976789.36+1384600</f>
        <v>3361389.3600000003</v>
      </c>
      <c r="F40" s="12">
        <f>+E40/C40</f>
        <v>0.99963996907155184</v>
      </c>
      <c r="G40" s="10">
        <f t="shared" si="6"/>
        <v>1210.6399999996647</v>
      </c>
      <c r="H40" s="13">
        <v>54023.49</v>
      </c>
      <c r="I40" s="14">
        <v>0</v>
      </c>
      <c r="J40" s="14">
        <f>28977.48+14488.74+4346.63+5000</f>
        <v>52812.85</v>
      </c>
      <c r="K40" s="14">
        <f>H40+I40-J40</f>
        <v>1210.6399999999994</v>
      </c>
      <c r="L40" s="15">
        <f t="shared" si="10"/>
        <v>0.99963996907155184</v>
      </c>
      <c r="M40" s="163"/>
      <c r="N40" s="167">
        <f t="shared" si="12"/>
        <v>3.3469405025243759E-10</v>
      </c>
      <c r="O40" s="173"/>
      <c r="R40" s="141"/>
      <c r="S40" s="144"/>
    </row>
    <row r="41" spans="1:19" s="5" customFormat="1" x14ac:dyDescent="0.2">
      <c r="A41" s="20" t="s">
        <v>51</v>
      </c>
      <c r="B41" s="21">
        <f>SUM(B26:B37)</f>
        <v>103250242.27999999</v>
      </c>
      <c r="C41" s="21">
        <f>SUM(C26:C37)</f>
        <v>103250242.27999999</v>
      </c>
      <c r="D41" s="21">
        <f>SUM(D26:D37)</f>
        <v>186451.15</v>
      </c>
      <c r="E41" s="21">
        <f>SUM(E26:E37)</f>
        <v>100833104.51999998</v>
      </c>
      <c r="F41" s="21">
        <f t="shared" ref="F41:K41" si="13">SUM(F26:F37)</f>
        <v>8.1432487905805289</v>
      </c>
      <c r="G41" s="21">
        <f t="shared" si="13"/>
        <v>2603588.9100000006</v>
      </c>
      <c r="H41" s="21">
        <f t="shared" si="13"/>
        <v>4809988.9100000011</v>
      </c>
      <c r="I41" s="21">
        <f t="shared" si="13"/>
        <v>728538.35000000009</v>
      </c>
      <c r="J41" s="21">
        <f t="shared" si="13"/>
        <v>2934938.35</v>
      </c>
      <c r="K41" s="21">
        <f t="shared" si="13"/>
        <v>2603588.9099999997</v>
      </c>
      <c r="L41" s="23"/>
      <c r="M41" s="164"/>
      <c r="N41" s="61">
        <f t="shared" si="12"/>
        <v>0</v>
      </c>
      <c r="O41" s="174"/>
      <c r="P41" s="143"/>
      <c r="Q41" s="143"/>
    </row>
    <row r="42" spans="1:19" s="17" customFormat="1" x14ac:dyDescent="0.25">
      <c r="A42" s="139" t="s">
        <v>18</v>
      </c>
      <c r="B42" s="10">
        <f>+C42</f>
        <v>974278.6400000006</v>
      </c>
      <c r="C42" s="10">
        <f>9497181.34-8522902.7</f>
        <v>974278.6400000006</v>
      </c>
      <c r="D42" s="11">
        <v>0</v>
      </c>
      <c r="E42" s="10">
        <v>416991</v>
      </c>
      <c r="F42" s="12">
        <f>+E42/C42</f>
        <v>0.42799973527080482</v>
      </c>
      <c r="G42" s="10">
        <f>+C42+D42-E42</f>
        <v>557287.6400000006</v>
      </c>
      <c r="H42" s="13">
        <f>364262.95-0.47</f>
        <v>364262.48000000004</v>
      </c>
      <c r="I42" s="14">
        <f>22013.2+172259.48</f>
        <v>194272.68000000002</v>
      </c>
      <c r="J42" s="14">
        <f>-4302.52+5550.04</f>
        <v>1247.5199999999995</v>
      </c>
      <c r="K42" s="14">
        <f>H42+I42-J42</f>
        <v>557287.64</v>
      </c>
      <c r="L42" s="15">
        <f>+F42</f>
        <v>0.42799973527080482</v>
      </c>
      <c r="M42" s="163"/>
      <c r="N42" s="168">
        <f t="shared" ref="N42:N51" si="14">+K42-G42</f>
        <v>0</v>
      </c>
      <c r="O42" s="170"/>
      <c r="P42" s="142"/>
      <c r="Q42" s="142"/>
    </row>
    <row r="43" spans="1:19" x14ac:dyDescent="0.2">
      <c r="A43" s="139" t="s">
        <v>20</v>
      </c>
      <c r="B43" s="10">
        <f t="shared" ref="B43:B52" si="15">+C43</f>
        <v>981063.53999999911</v>
      </c>
      <c r="C43" s="10">
        <f>28461059.77-27479996.23</f>
        <v>981063.53999999911</v>
      </c>
      <c r="D43" s="11">
        <v>0</v>
      </c>
      <c r="E43" s="10">
        <v>174602.54</v>
      </c>
      <c r="F43" s="12">
        <f t="shared" ref="F43:F52" si="16">+E43/C43</f>
        <v>0.17797271316392022</v>
      </c>
      <c r="G43" s="10">
        <f>+C43+D43-E43</f>
        <v>806460.99999999907</v>
      </c>
      <c r="H43" s="13">
        <v>1795340.56</v>
      </c>
      <c r="I43" s="14">
        <v>1162</v>
      </c>
      <c r="J43" s="14">
        <f>272555.03+160187.53+557299</f>
        <v>990041.56</v>
      </c>
      <c r="K43" s="14">
        <f t="shared" ref="K43:K77" si="17">H43+I43-J43</f>
        <v>806461</v>
      </c>
      <c r="L43" s="15">
        <f t="shared" ref="L43:L52" si="18">+F43</f>
        <v>0.17797271316392022</v>
      </c>
      <c r="M43" s="163"/>
      <c r="N43" s="61">
        <f t="shared" si="14"/>
        <v>9.3132257461547852E-10</v>
      </c>
      <c r="O43" s="172"/>
    </row>
    <row r="44" spans="1:19" x14ac:dyDescent="0.2">
      <c r="A44" s="139" t="s">
        <v>21</v>
      </c>
      <c r="B44" s="10">
        <f t="shared" si="15"/>
        <v>185683.99</v>
      </c>
      <c r="C44" s="10">
        <f>266576.99-80893</f>
        <v>185683.99</v>
      </c>
      <c r="D44" s="11">
        <v>0</v>
      </c>
      <c r="E44" s="10">
        <v>185218.16</v>
      </c>
      <c r="F44" s="12">
        <f t="shared" si="16"/>
        <v>0.99749127536520521</v>
      </c>
      <c r="G44" s="10">
        <f>+C44+D44-E44</f>
        <v>465.82999999998719</v>
      </c>
      <c r="H44" s="13">
        <v>465.83</v>
      </c>
      <c r="I44" s="14">
        <v>0</v>
      </c>
      <c r="J44" s="14">
        <v>0</v>
      </c>
      <c r="K44" s="14">
        <f t="shared" si="17"/>
        <v>465.83</v>
      </c>
      <c r="L44" s="15">
        <f t="shared" si="18"/>
        <v>0.99749127536520521</v>
      </c>
      <c r="M44" s="163"/>
      <c r="N44" s="168">
        <f t="shared" si="14"/>
        <v>1.2789769243681803E-11</v>
      </c>
    </row>
    <row r="45" spans="1:19" x14ac:dyDescent="0.2">
      <c r="A45" s="139" t="s">
        <v>22</v>
      </c>
      <c r="B45" s="10">
        <f t="shared" si="15"/>
        <v>173435.65999999997</v>
      </c>
      <c r="C45" s="10">
        <f>375412.66-201977</f>
        <v>173435.65999999997</v>
      </c>
      <c r="D45" s="10">
        <v>149.51</v>
      </c>
      <c r="E45" s="10">
        <v>167368.20000000001</v>
      </c>
      <c r="F45" s="12">
        <f t="shared" si="16"/>
        <v>0.96501607570207903</v>
      </c>
      <c r="G45" s="10">
        <f t="shared" ref="G45:G50" si="19">+C45+D45-E45</f>
        <v>6216.9699999999721</v>
      </c>
      <c r="H45" s="13">
        <v>6216.97</v>
      </c>
      <c r="I45" s="14">
        <v>0</v>
      </c>
      <c r="J45" s="14">
        <v>0</v>
      </c>
      <c r="K45" s="14">
        <f t="shared" si="17"/>
        <v>6216.97</v>
      </c>
      <c r="L45" s="15">
        <f t="shared" si="18"/>
        <v>0.96501607570207903</v>
      </c>
      <c r="M45" s="163"/>
      <c r="N45" s="61">
        <f t="shared" si="14"/>
        <v>2.8194335754960775E-11</v>
      </c>
    </row>
    <row r="46" spans="1:19" x14ac:dyDescent="0.2">
      <c r="A46" s="139" t="s">
        <v>23</v>
      </c>
      <c r="B46" s="10">
        <f t="shared" si="15"/>
        <v>514053.77999999991</v>
      </c>
      <c r="C46" s="10">
        <f>1302246.39-788192.61</f>
        <v>514053.77999999991</v>
      </c>
      <c r="D46" s="10">
        <v>408.58</v>
      </c>
      <c r="E46" s="10">
        <v>497037.73</v>
      </c>
      <c r="F46" s="12">
        <f t="shared" si="16"/>
        <v>0.96689830779962371</v>
      </c>
      <c r="G46" s="10">
        <f t="shared" si="19"/>
        <v>17424.629999999946</v>
      </c>
      <c r="H46" s="13">
        <v>17424.63</v>
      </c>
      <c r="I46" s="14">
        <v>0</v>
      </c>
      <c r="J46" s="14">
        <v>0</v>
      </c>
      <c r="K46" s="14">
        <f t="shared" si="17"/>
        <v>17424.63</v>
      </c>
      <c r="L46" s="15">
        <f t="shared" si="18"/>
        <v>0.96689830779962371</v>
      </c>
      <c r="M46" s="163"/>
      <c r="N46" s="168">
        <f t="shared" si="14"/>
        <v>5.4569682106375694E-11</v>
      </c>
    </row>
    <row r="47" spans="1:19" x14ac:dyDescent="0.2">
      <c r="A47" s="139" t="s">
        <v>24</v>
      </c>
      <c r="B47" s="10">
        <f t="shared" si="15"/>
        <v>423848.1799999997</v>
      </c>
      <c r="C47" s="10">
        <f>13636634.35-13212786.17</f>
        <v>423848.1799999997</v>
      </c>
      <c r="D47" s="11">
        <v>-459</v>
      </c>
      <c r="E47" s="10">
        <v>11601.63</v>
      </c>
      <c r="F47" s="12">
        <f t="shared" si="16"/>
        <v>2.7372135937920053E-2</v>
      </c>
      <c r="G47" s="10">
        <f>+C47+D47-E47</f>
        <v>411787.5499999997</v>
      </c>
      <c r="H47" s="13">
        <v>37530.339999999997</v>
      </c>
      <c r="I47" s="14">
        <v>456237</v>
      </c>
      <c r="J47" s="14">
        <f>52394.42+7312.79+22272.58</f>
        <v>81979.790000000008</v>
      </c>
      <c r="K47" s="14">
        <f t="shared" si="17"/>
        <v>411787.54999999993</v>
      </c>
      <c r="L47" s="15">
        <f t="shared" si="18"/>
        <v>2.7372135937920053E-2</v>
      </c>
      <c r="M47" s="163"/>
      <c r="N47" s="61">
        <f t="shared" si="14"/>
        <v>0</v>
      </c>
    </row>
    <row r="48" spans="1:19" x14ac:dyDescent="0.2">
      <c r="A48" s="139" t="s">
        <v>25</v>
      </c>
      <c r="B48" s="10">
        <f t="shared" si="15"/>
        <v>326040.06000000006</v>
      </c>
      <c r="C48" s="10">
        <f>868753.03-542712.97</f>
        <v>326040.06000000006</v>
      </c>
      <c r="D48" s="10">
        <v>131.31</v>
      </c>
      <c r="E48" s="10">
        <v>320888.67</v>
      </c>
      <c r="F48" s="12">
        <f t="shared" si="16"/>
        <v>0.98420013172614407</v>
      </c>
      <c r="G48" s="10">
        <f t="shared" si="19"/>
        <v>5282.7000000000698</v>
      </c>
      <c r="H48" s="13">
        <v>5282.7</v>
      </c>
      <c r="I48" s="14">
        <v>0</v>
      </c>
      <c r="J48" s="14">
        <v>0</v>
      </c>
      <c r="K48" s="14">
        <f t="shared" si="17"/>
        <v>5282.7</v>
      </c>
      <c r="L48" s="15">
        <f t="shared" si="18"/>
        <v>0.98420013172614407</v>
      </c>
      <c r="M48" s="163"/>
      <c r="N48" s="168">
        <f t="shared" si="14"/>
        <v>-7.0031092036515474E-11</v>
      </c>
    </row>
    <row r="49" spans="1:17" x14ac:dyDescent="0.2">
      <c r="A49" s="139" t="s">
        <v>27</v>
      </c>
      <c r="B49" s="10">
        <f t="shared" si="15"/>
        <v>3767.3699999999953</v>
      </c>
      <c r="C49" s="10">
        <f>573447.69-569680.32</f>
        <v>3767.3699999999953</v>
      </c>
      <c r="D49" s="11">
        <v>0</v>
      </c>
      <c r="E49" s="10">
        <v>0</v>
      </c>
      <c r="F49" s="12">
        <f t="shared" si="16"/>
        <v>0</v>
      </c>
      <c r="G49" s="10">
        <f t="shared" si="19"/>
        <v>3767.3699999999953</v>
      </c>
      <c r="H49" s="13">
        <v>3767.37</v>
      </c>
      <c r="I49" s="14">
        <v>0</v>
      </c>
      <c r="J49" s="14">
        <v>0</v>
      </c>
      <c r="K49" s="14">
        <f t="shared" si="17"/>
        <v>3767.37</v>
      </c>
      <c r="L49" s="15">
        <f t="shared" si="18"/>
        <v>0</v>
      </c>
      <c r="M49" s="163"/>
      <c r="N49" s="61">
        <f t="shared" si="14"/>
        <v>4.5474735088646412E-12</v>
      </c>
    </row>
    <row r="50" spans="1:17" x14ac:dyDescent="0.2">
      <c r="A50" s="139" t="s">
        <v>28</v>
      </c>
      <c r="B50" s="10">
        <f t="shared" si="15"/>
        <v>36484.65</v>
      </c>
      <c r="C50" s="10">
        <f>36484.65-0</f>
        <v>36484.65</v>
      </c>
      <c r="D50" s="11">
        <v>0</v>
      </c>
      <c r="E50" s="10">
        <v>35942.33</v>
      </c>
      <c r="F50" s="12">
        <f t="shared" si="16"/>
        <v>0.98513566664336916</v>
      </c>
      <c r="G50" s="10">
        <f t="shared" si="19"/>
        <v>542.31999999999971</v>
      </c>
      <c r="H50" s="13">
        <v>542.32000000000005</v>
      </c>
      <c r="I50" s="14">
        <v>0</v>
      </c>
      <c r="J50" s="14">
        <v>0</v>
      </c>
      <c r="K50" s="14">
        <f t="shared" si="17"/>
        <v>542.32000000000005</v>
      </c>
      <c r="L50" s="15">
        <f t="shared" si="18"/>
        <v>0.98513566664336916</v>
      </c>
      <c r="M50" s="163"/>
      <c r="N50" s="168">
        <f t="shared" si="14"/>
        <v>0</v>
      </c>
    </row>
    <row r="51" spans="1:17" x14ac:dyDescent="0.2">
      <c r="A51" s="139" t="s">
        <v>29</v>
      </c>
      <c r="B51" s="10">
        <f>+C51</f>
        <v>4269132.7199999988</v>
      </c>
      <c r="C51" s="10">
        <f>25804148.7-21535015.98</f>
        <v>4269132.7199999988</v>
      </c>
      <c r="D51" s="45"/>
      <c r="E51" s="10">
        <v>3779555.7</v>
      </c>
      <c r="F51" s="12">
        <f t="shared" si="16"/>
        <v>0.88532166786325661</v>
      </c>
      <c r="G51" s="10">
        <f>+C51+D51-E51</f>
        <v>489577.01999999862</v>
      </c>
      <c r="H51" s="13">
        <f>2255525.44-1688966.46</f>
        <v>566558.98</v>
      </c>
      <c r="I51" s="14">
        <v>122706.07</v>
      </c>
      <c r="J51" s="14">
        <f>20016.25+99956.62+61086.68+18628.48</f>
        <v>199688.03</v>
      </c>
      <c r="K51" s="14">
        <f>H51+I51-J51</f>
        <v>489577.02</v>
      </c>
      <c r="L51" s="15">
        <f t="shared" si="18"/>
        <v>0.88532166786325661</v>
      </c>
      <c r="M51" s="163"/>
      <c r="N51" s="61">
        <f t="shared" si="14"/>
        <v>1.3969838619232178E-9</v>
      </c>
      <c r="O51" s="172"/>
    </row>
    <row r="52" spans="1:17" x14ac:dyDescent="0.2">
      <c r="A52" s="139" t="s">
        <v>30</v>
      </c>
      <c r="B52" s="10">
        <f t="shared" si="15"/>
        <v>193749.02000000025</v>
      </c>
      <c r="C52" s="10">
        <f>19272341-17976826.68-1101765.3</f>
        <v>193749.02000000025</v>
      </c>
      <c r="D52" s="10">
        <v>-484.77</v>
      </c>
      <c r="E52" s="10">
        <v>0</v>
      </c>
      <c r="F52" s="12">
        <f t="shared" si="16"/>
        <v>0</v>
      </c>
      <c r="G52" s="10">
        <f>+C52+D52-E52</f>
        <v>193264.25000000026</v>
      </c>
      <c r="H52" s="13">
        <v>167473.73000000001</v>
      </c>
      <c r="I52" s="14">
        <v>296402</v>
      </c>
      <c r="J52" s="14">
        <f>26299+244312.48</f>
        <v>270611.48</v>
      </c>
      <c r="K52" s="14">
        <f>H52+I52-J52</f>
        <v>193264.25</v>
      </c>
      <c r="L52" s="15">
        <f t="shared" si="18"/>
        <v>0</v>
      </c>
      <c r="M52" s="163"/>
      <c r="N52" s="168">
        <f>+K52-G52</f>
        <v>-2.6193447411060333E-10</v>
      </c>
      <c r="O52" s="173"/>
    </row>
    <row r="53" spans="1:17" s="5" customFormat="1" x14ac:dyDescent="0.2">
      <c r="A53" s="20" t="s">
        <v>33</v>
      </c>
      <c r="B53" s="21">
        <f>SUM(B42:B52)</f>
        <v>8081537.6099999985</v>
      </c>
      <c r="C53" s="21">
        <f>SUM(C42:C52)</f>
        <v>8081537.6099999985</v>
      </c>
      <c r="D53" s="21">
        <f>SUM(D42:D52)</f>
        <v>-254.37000000000006</v>
      </c>
      <c r="E53" s="21">
        <f>SUM(E42:E52)</f>
        <v>5589205.96</v>
      </c>
      <c r="F53" s="22">
        <f>+E53/C53</f>
        <v>0.69160180026681839</v>
      </c>
      <c r="G53" s="21">
        <f>SUM(G42:G52)</f>
        <v>2492077.2799999989</v>
      </c>
      <c r="H53" s="21">
        <f>SUM(H42:H52)</f>
        <v>2964865.91</v>
      </c>
      <c r="I53" s="21">
        <f>SUM(I42:I52)</f>
        <v>1070779.75</v>
      </c>
      <c r="J53" s="21">
        <f>SUM(J42:J52)</f>
        <v>1543568.3800000001</v>
      </c>
      <c r="K53" s="21">
        <f>SUM(K42:K52)</f>
        <v>2492077.2800000003</v>
      </c>
      <c r="L53" s="23"/>
      <c r="M53" s="164"/>
      <c r="N53" s="61">
        <f t="shared" ref="N53:N78" si="20">+K53-G53</f>
        <v>0</v>
      </c>
      <c r="O53" s="174"/>
      <c r="P53" s="143"/>
      <c r="Q53" s="143"/>
    </row>
    <row r="54" spans="1:17" x14ac:dyDescent="0.2">
      <c r="A54" s="139" t="s">
        <v>18</v>
      </c>
      <c r="B54" s="10">
        <v>0</v>
      </c>
      <c r="C54" s="10">
        <v>0</v>
      </c>
      <c r="D54" s="13"/>
      <c r="E54" s="10">
        <v>0</v>
      </c>
      <c r="F54" s="12">
        <v>0</v>
      </c>
      <c r="G54" s="10">
        <v>10714.68</v>
      </c>
      <c r="H54" s="10">
        <v>10714.68</v>
      </c>
      <c r="I54" s="10">
        <v>0</v>
      </c>
      <c r="J54" s="10">
        <v>0</v>
      </c>
      <c r="K54" s="10">
        <f t="shared" si="17"/>
        <v>10714.68</v>
      </c>
      <c r="L54" s="15"/>
      <c r="M54" s="163"/>
      <c r="N54" s="61">
        <f t="shared" si="20"/>
        <v>0</v>
      </c>
    </row>
    <row r="55" spans="1:17" x14ac:dyDescent="0.2">
      <c r="A55" s="139" t="s">
        <v>20</v>
      </c>
      <c r="B55" s="10">
        <v>0</v>
      </c>
      <c r="C55" s="10">
        <v>0</v>
      </c>
      <c r="D55" s="13"/>
      <c r="E55" s="10">
        <v>0</v>
      </c>
      <c r="F55" s="12">
        <v>0</v>
      </c>
      <c r="G55" s="10">
        <v>4740.07</v>
      </c>
      <c r="H55" s="10">
        <v>4740.07</v>
      </c>
      <c r="I55" s="10">
        <v>0</v>
      </c>
      <c r="J55" s="10">
        <v>0</v>
      </c>
      <c r="K55" s="10">
        <f t="shared" si="17"/>
        <v>4740.07</v>
      </c>
      <c r="L55" s="15"/>
      <c r="M55" s="163"/>
      <c r="N55" s="61">
        <f t="shared" si="20"/>
        <v>0</v>
      </c>
    </row>
    <row r="56" spans="1:17" x14ac:dyDescent="0.2">
      <c r="A56" s="139" t="s">
        <v>25</v>
      </c>
      <c r="B56" s="10">
        <v>0</v>
      </c>
      <c r="C56" s="10">
        <v>0</v>
      </c>
      <c r="D56" s="13"/>
      <c r="E56" s="10">
        <v>0</v>
      </c>
      <c r="F56" s="12">
        <v>0</v>
      </c>
      <c r="G56" s="10">
        <v>6062.34</v>
      </c>
      <c r="H56" s="10">
        <v>6062.34</v>
      </c>
      <c r="I56" s="10">
        <v>0</v>
      </c>
      <c r="J56" s="10">
        <v>0</v>
      </c>
      <c r="K56" s="10">
        <f t="shared" si="17"/>
        <v>6062.34</v>
      </c>
      <c r="L56" s="15"/>
      <c r="M56" s="163"/>
      <c r="N56" s="61">
        <f t="shared" si="20"/>
        <v>0</v>
      </c>
    </row>
    <row r="57" spans="1:17" x14ac:dyDescent="0.2">
      <c r="A57" s="139" t="s">
        <v>34</v>
      </c>
      <c r="B57" s="10">
        <v>0</v>
      </c>
      <c r="C57" s="10">
        <v>154782.26</v>
      </c>
      <c r="D57" s="13">
        <v>0</v>
      </c>
      <c r="E57" s="10">
        <v>0</v>
      </c>
      <c r="F57" s="12">
        <v>0</v>
      </c>
      <c r="G57" s="10">
        <f>+C57+D57-E57</f>
        <v>154782.26</v>
      </c>
      <c r="H57" s="10">
        <v>237102.37</v>
      </c>
      <c r="I57" s="10">
        <v>0</v>
      </c>
      <c r="J57" s="10">
        <v>82320.11</v>
      </c>
      <c r="K57" s="10">
        <f t="shared" si="17"/>
        <v>154782.26</v>
      </c>
      <c r="L57" s="15"/>
      <c r="M57" s="163"/>
      <c r="N57" s="61">
        <f t="shared" si="20"/>
        <v>0</v>
      </c>
    </row>
    <row r="58" spans="1:17" x14ac:dyDescent="0.2">
      <c r="A58" s="20" t="s">
        <v>35</v>
      </c>
      <c r="B58" s="25">
        <f t="shared" ref="B58:K58" si="21">SUM(B54:B57)</f>
        <v>0</v>
      </c>
      <c r="C58" s="25">
        <f t="shared" si="21"/>
        <v>154782.26</v>
      </c>
      <c r="D58" s="25">
        <f t="shared" si="21"/>
        <v>0</v>
      </c>
      <c r="E58" s="25">
        <f t="shared" si="21"/>
        <v>0</v>
      </c>
      <c r="F58" s="25">
        <f t="shared" si="21"/>
        <v>0</v>
      </c>
      <c r="G58" s="25">
        <f t="shared" si="21"/>
        <v>176299.35</v>
      </c>
      <c r="H58" s="25">
        <f t="shared" si="21"/>
        <v>258619.46</v>
      </c>
      <c r="I58" s="25">
        <f t="shared" si="21"/>
        <v>0</v>
      </c>
      <c r="J58" s="25">
        <f t="shared" si="21"/>
        <v>82320.11</v>
      </c>
      <c r="K58" s="25">
        <f t="shared" si="21"/>
        <v>176299.35</v>
      </c>
      <c r="L58" s="27"/>
      <c r="M58" s="163"/>
      <c r="N58" s="61">
        <f t="shared" si="20"/>
        <v>0</v>
      </c>
    </row>
    <row r="59" spans="1:17" x14ac:dyDescent="0.2">
      <c r="A59" s="139" t="s">
        <v>18</v>
      </c>
      <c r="B59" s="10">
        <v>0</v>
      </c>
      <c r="C59" s="10">
        <v>0</v>
      </c>
      <c r="D59" s="10"/>
      <c r="E59" s="10">
        <v>0</v>
      </c>
      <c r="F59" s="12">
        <v>0</v>
      </c>
      <c r="G59" s="10">
        <v>1710.94</v>
      </c>
      <c r="H59" s="10">
        <f>1710.47+0.47</f>
        <v>1710.94</v>
      </c>
      <c r="I59" s="10">
        <v>0</v>
      </c>
      <c r="J59" s="10">
        <v>0</v>
      </c>
      <c r="K59" s="10">
        <f t="shared" si="17"/>
        <v>1710.94</v>
      </c>
      <c r="L59" s="15"/>
      <c r="M59" s="163"/>
      <c r="N59" s="61">
        <f t="shared" si="20"/>
        <v>0</v>
      </c>
    </row>
    <row r="60" spans="1:17" x14ac:dyDescent="0.2">
      <c r="A60" s="139" t="s">
        <v>20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1937.75</v>
      </c>
      <c r="H60" s="10">
        <v>1937.75</v>
      </c>
      <c r="I60" s="10">
        <v>0</v>
      </c>
      <c r="J60" s="10">
        <v>0</v>
      </c>
      <c r="K60" s="10">
        <f t="shared" si="17"/>
        <v>1937.75</v>
      </c>
      <c r="L60" s="15"/>
      <c r="M60" s="163"/>
      <c r="N60" s="61">
        <f t="shared" si="20"/>
        <v>0</v>
      </c>
    </row>
    <row r="61" spans="1:17" x14ac:dyDescent="0.2">
      <c r="A61" s="139" t="s">
        <v>21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1869.07</v>
      </c>
      <c r="H61" s="10">
        <v>1869.07</v>
      </c>
      <c r="I61" s="10">
        <v>0</v>
      </c>
      <c r="J61" s="10">
        <v>0</v>
      </c>
      <c r="K61" s="10">
        <f t="shared" si="17"/>
        <v>1869.07</v>
      </c>
      <c r="L61" s="15"/>
      <c r="M61" s="163"/>
      <c r="N61" s="61">
        <f t="shared" si="20"/>
        <v>0</v>
      </c>
    </row>
    <row r="62" spans="1:17" x14ac:dyDescent="0.2">
      <c r="A62" s="139" t="s">
        <v>24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17486.5</v>
      </c>
      <c r="H62" s="10">
        <v>17486.5</v>
      </c>
      <c r="I62" s="10">
        <v>0</v>
      </c>
      <c r="J62" s="10">
        <v>0</v>
      </c>
      <c r="K62" s="10">
        <f t="shared" si="17"/>
        <v>17486.5</v>
      </c>
      <c r="L62" s="15"/>
      <c r="M62" s="163"/>
      <c r="N62" s="61">
        <f t="shared" si="20"/>
        <v>0</v>
      </c>
    </row>
    <row r="63" spans="1:17" x14ac:dyDescent="0.2">
      <c r="A63" s="139" t="s">
        <v>25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8151.67</v>
      </c>
      <c r="H63" s="10">
        <v>8151.67</v>
      </c>
      <c r="I63" s="10">
        <v>0</v>
      </c>
      <c r="J63" s="10">
        <v>0</v>
      </c>
      <c r="K63" s="10">
        <f t="shared" si="17"/>
        <v>8151.67</v>
      </c>
      <c r="L63" s="15"/>
      <c r="M63" s="163"/>
      <c r="N63" s="61">
        <f t="shared" si="20"/>
        <v>0</v>
      </c>
    </row>
    <row r="64" spans="1:17" x14ac:dyDescent="0.2">
      <c r="A64" s="139" t="s">
        <v>29</v>
      </c>
      <c r="B64" s="10">
        <v>0</v>
      </c>
      <c r="C64" s="10">
        <v>0</v>
      </c>
      <c r="D64" s="10">
        <v>0</v>
      </c>
      <c r="E64" s="10">
        <v>0</v>
      </c>
      <c r="F64" s="12">
        <v>0</v>
      </c>
      <c r="G64" s="10">
        <v>17.399999999999999</v>
      </c>
      <c r="H64" s="10">
        <v>17.399999999999999</v>
      </c>
      <c r="I64" s="10"/>
      <c r="J64" s="10">
        <v>0</v>
      </c>
      <c r="K64" s="10">
        <f t="shared" si="17"/>
        <v>17.399999999999999</v>
      </c>
      <c r="L64" s="15"/>
      <c r="M64" s="163"/>
      <c r="N64" s="61">
        <f t="shared" si="20"/>
        <v>0</v>
      </c>
    </row>
    <row r="65" spans="1:14" x14ac:dyDescent="0.2">
      <c r="A65" s="20" t="s">
        <v>37</v>
      </c>
      <c r="B65" s="25">
        <f t="shared" ref="B65:K65" si="22">SUM(B59:B64)</f>
        <v>0</v>
      </c>
      <c r="C65" s="25">
        <f t="shared" si="22"/>
        <v>0</v>
      </c>
      <c r="D65" s="25">
        <f t="shared" si="22"/>
        <v>0</v>
      </c>
      <c r="E65" s="25">
        <f t="shared" si="22"/>
        <v>0</v>
      </c>
      <c r="F65" s="25">
        <f t="shared" si="22"/>
        <v>0</v>
      </c>
      <c r="G65" s="25">
        <f t="shared" si="22"/>
        <v>31173.33</v>
      </c>
      <c r="H65" s="25">
        <f t="shared" si="22"/>
        <v>31173.33</v>
      </c>
      <c r="I65" s="25">
        <f t="shared" si="22"/>
        <v>0</v>
      </c>
      <c r="J65" s="25">
        <f t="shared" si="22"/>
        <v>0</v>
      </c>
      <c r="K65" s="25">
        <f t="shared" si="22"/>
        <v>31173.33</v>
      </c>
      <c r="L65" s="27"/>
      <c r="M65" s="163"/>
      <c r="N65" s="61">
        <f>+K65-G65</f>
        <v>0</v>
      </c>
    </row>
    <row r="66" spans="1:14" x14ac:dyDescent="0.2">
      <c r="A66" s="139" t="s">
        <v>18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3476.37</v>
      </c>
      <c r="H66" s="10">
        <v>3476.37</v>
      </c>
      <c r="I66" s="10">
        <v>0</v>
      </c>
      <c r="J66" s="10">
        <v>0</v>
      </c>
      <c r="K66" s="10">
        <f t="shared" si="17"/>
        <v>3476.37</v>
      </c>
      <c r="L66" s="15"/>
      <c r="M66" s="163"/>
      <c r="N66" s="61">
        <f t="shared" si="20"/>
        <v>0</v>
      </c>
    </row>
    <row r="67" spans="1:14" x14ac:dyDescent="0.2">
      <c r="A67" s="139" t="s">
        <v>20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382.8</v>
      </c>
      <c r="H67" s="10">
        <v>382.8</v>
      </c>
      <c r="I67" s="10">
        <v>0</v>
      </c>
      <c r="J67" s="10">
        <v>0</v>
      </c>
      <c r="K67" s="10">
        <f t="shared" si="17"/>
        <v>382.8</v>
      </c>
      <c r="L67" s="15"/>
      <c r="M67" s="163"/>
      <c r="N67" s="61">
        <f t="shared" si="20"/>
        <v>0</v>
      </c>
    </row>
    <row r="68" spans="1:14" x14ac:dyDescent="0.2">
      <c r="A68" s="139" t="s">
        <v>24</v>
      </c>
      <c r="B68" s="10">
        <v>0</v>
      </c>
      <c r="C68" s="10">
        <v>0</v>
      </c>
      <c r="D68" s="10">
        <v>0</v>
      </c>
      <c r="E68" s="10">
        <v>0</v>
      </c>
      <c r="F68" s="12">
        <v>0</v>
      </c>
      <c r="G68" s="10">
        <v>16180.08</v>
      </c>
      <c r="H68" s="10">
        <v>16180.08</v>
      </c>
      <c r="I68" s="10">
        <v>0</v>
      </c>
      <c r="J68" s="10">
        <v>0</v>
      </c>
      <c r="K68" s="10">
        <f t="shared" si="17"/>
        <v>16180.08</v>
      </c>
      <c r="L68" s="15"/>
      <c r="M68" s="163"/>
      <c r="N68" s="61">
        <f t="shared" si="20"/>
        <v>0</v>
      </c>
    </row>
    <row r="69" spans="1:14" x14ac:dyDescent="0.2">
      <c r="A69" s="139" t="s">
        <v>29</v>
      </c>
      <c r="B69" s="10">
        <v>0</v>
      </c>
      <c r="C69" s="10">
        <v>0</v>
      </c>
      <c r="D69" s="10"/>
      <c r="E69" s="10">
        <v>0</v>
      </c>
      <c r="F69" s="12">
        <v>0</v>
      </c>
      <c r="G69" s="10">
        <v>242057.67</v>
      </c>
      <c r="H69" s="10">
        <v>242057.67</v>
      </c>
      <c r="I69" s="10">
        <v>0</v>
      </c>
      <c r="J69" s="10">
        <v>0</v>
      </c>
      <c r="K69" s="10">
        <f t="shared" si="17"/>
        <v>242057.67</v>
      </c>
      <c r="L69" s="15"/>
      <c r="M69" s="163"/>
      <c r="N69" s="61">
        <f t="shared" si="20"/>
        <v>0</v>
      </c>
    </row>
    <row r="70" spans="1:14" x14ac:dyDescent="0.2">
      <c r="A70" s="20" t="s">
        <v>38</v>
      </c>
      <c r="B70" s="25">
        <f t="shared" ref="B70:K70" si="23">SUM(B66:B69)</f>
        <v>0</v>
      </c>
      <c r="C70" s="25">
        <f t="shared" si="23"/>
        <v>0</v>
      </c>
      <c r="D70" s="25">
        <f t="shared" si="23"/>
        <v>0</v>
      </c>
      <c r="E70" s="25">
        <f t="shared" si="23"/>
        <v>0</v>
      </c>
      <c r="F70" s="25">
        <f t="shared" si="23"/>
        <v>0</v>
      </c>
      <c r="G70" s="25">
        <f t="shared" si="23"/>
        <v>262096.92</v>
      </c>
      <c r="H70" s="25">
        <f t="shared" si="23"/>
        <v>262096.92</v>
      </c>
      <c r="I70" s="25">
        <f t="shared" si="23"/>
        <v>0</v>
      </c>
      <c r="J70" s="25">
        <f t="shared" si="23"/>
        <v>0</v>
      </c>
      <c r="K70" s="25">
        <f t="shared" si="23"/>
        <v>262096.92</v>
      </c>
      <c r="L70" s="27"/>
      <c r="M70" s="163"/>
      <c r="N70" s="61">
        <f t="shared" si="20"/>
        <v>0</v>
      </c>
    </row>
    <row r="71" spans="1:14" x14ac:dyDescent="0.2">
      <c r="A71" s="13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70435.27</v>
      </c>
      <c r="H71" s="10">
        <v>27196.65</v>
      </c>
      <c r="I71" s="10">
        <v>1260055.98</v>
      </c>
      <c r="J71" s="10">
        <v>1216817.3599999999</v>
      </c>
      <c r="K71" s="10">
        <f t="shared" si="17"/>
        <v>70435.270000000019</v>
      </c>
      <c r="L71" s="15"/>
      <c r="M71" s="163"/>
      <c r="N71" s="61">
        <f t="shared" si="20"/>
        <v>0</v>
      </c>
    </row>
    <row r="72" spans="1:14" x14ac:dyDescent="0.2">
      <c r="A72" s="139" t="s">
        <v>36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-10</v>
      </c>
      <c r="H72" s="10">
        <v>-10</v>
      </c>
      <c r="I72" s="10">
        <v>0</v>
      </c>
      <c r="J72" s="10">
        <v>0</v>
      </c>
      <c r="K72" s="10">
        <f t="shared" si="17"/>
        <v>-10</v>
      </c>
      <c r="L72" s="15"/>
      <c r="M72" s="163"/>
      <c r="N72" s="61">
        <f t="shared" si="20"/>
        <v>0</v>
      </c>
    </row>
    <row r="73" spans="1:14" x14ac:dyDescent="0.2">
      <c r="A73" s="139" t="s">
        <v>20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10409.09</v>
      </c>
      <c r="H73" s="10">
        <v>8124.4500000000007</v>
      </c>
      <c r="I73" s="10">
        <v>1364164.99</v>
      </c>
      <c r="J73" s="10">
        <v>1361880.35</v>
      </c>
      <c r="K73" s="10">
        <f t="shared" si="17"/>
        <v>10409.089999999851</v>
      </c>
      <c r="L73" s="15"/>
      <c r="M73" s="163"/>
      <c r="N73" s="61">
        <f t="shared" si="20"/>
        <v>-1.4915713109076023E-10</v>
      </c>
    </row>
    <row r="74" spans="1:14" x14ac:dyDescent="0.2">
      <c r="A74" s="139" t="s">
        <v>24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1150.8900000000001</v>
      </c>
      <c r="H74" s="10">
        <v>42631.81</v>
      </c>
      <c r="I74" s="10">
        <v>412765.08</v>
      </c>
      <c r="J74" s="10">
        <v>454246</v>
      </c>
      <c r="K74" s="10">
        <f t="shared" si="17"/>
        <v>1150.890000000014</v>
      </c>
      <c r="L74" s="15"/>
      <c r="M74" s="163"/>
      <c r="N74" s="61">
        <f t="shared" si="20"/>
        <v>1.3869794202037156E-11</v>
      </c>
    </row>
    <row r="75" spans="1:14" x14ac:dyDescent="0.2">
      <c r="A75" s="139" t="s">
        <v>25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719.87</v>
      </c>
      <c r="H75" s="10">
        <v>719.87</v>
      </c>
      <c r="I75" s="10">
        <v>0</v>
      </c>
      <c r="J75" s="10">
        <v>0</v>
      </c>
      <c r="K75" s="10">
        <f t="shared" si="17"/>
        <v>719.87</v>
      </c>
      <c r="L75" s="15"/>
      <c r="M75" s="163"/>
      <c r="N75" s="61">
        <f t="shared" si="20"/>
        <v>0</v>
      </c>
    </row>
    <row r="76" spans="1:14" x14ac:dyDescent="0.2">
      <c r="A76" s="139" t="s">
        <v>27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267528.84000000003</v>
      </c>
      <c r="H76" s="10">
        <v>0</v>
      </c>
      <c r="I76" s="10">
        <v>267528.84000000003</v>
      </c>
      <c r="J76" s="10">
        <v>0</v>
      </c>
      <c r="K76" s="10">
        <f t="shared" si="17"/>
        <v>267528.84000000003</v>
      </c>
      <c r="L76" s="15"/>
      <c r="M76" s="163"/>
      <c r="N76" s="61">
        <f t="shared" si="20"/>
        <v>0</v>
      </c>
    </row>
    <row r="77" spans="1:14" x14ac:dyDescent="0.2">
      <c r="A77" s="139" t="s">
        <v>29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236767.4</v>
      </c>
      <c r="H77" s="10">
        <v>243581.68</v>
      </c>
      <c r="I77" s="10">
        <v>0</v>
      </c>
      <c r="J77" s="10">
        <f>2827.74+3986.54</f>
        <v>6814.28</v>
      </c>
      <c r="K77" s="10">
        <f t="shared" si="17"/>
        <v>236767.4</v>
      </c>
      <c r="L77" s="15"/>
      <c r="M77" s="163"/>
      <c r="N77" s="61">
        <f t="shared" si="20"/>
        <v>0</v>
      </c>
    </row>
    <row r="78" spans="1:14" x14ac:dyDescent="0.2">
      <c r="A78" s="20" t="s">
        <v>39</v>
      </c>
      <c r="B78" s="25">
        <f t="shared" ref="B78:K78" si="24">SUM(B71:B77)</f>
        <v>0</v>
      </c>
      <c r="C78" s="25">
        <f t="shared" si="24"/>
        <v>0</v>
      </c>
      <c r="D78" s="25">
        <f t="shared" si="24"/>
        <v>0</v>
      </c>
      <c r="E78" s="25">
        <f t="shared" si="24"/>
        <v>0</v>
      </c>
      <c r="F78" s="25">
        <f t="shared" si="24"/>
        <v>0</v>
      </c>
      <c r="G78" s="25">
        <f t="shared" si="24"/>
        <v>587001.36</v>
      </c>
      <c r="H78" s="25">
        <f t="shared" si="24"/>
        <v>322244.45999999996</v>
      </c>
      <c r="I78" s="25">
        <f t="shared" si="24"/>
        <v>3304514.8899999997</v>
      </c>
      <c r="J78" s="25">
        <f t="shared" si="24"/>
        <v>3039757.9899999998</v>
      </c>
      <c r="K78" s="25">
        <f t="shared" si="24"/>
        <v>587001.35999999987</v>
      </c>
      <c r="L78" s="27"/>
      <c r="M78" s="163"/>
      <c r="N78" s="61">
        <f t="shared" si="20"/>
        <v>0</v>
      </c>
    </row>
    <row r="79" spans="1:14" x14ac:dyDescent="0.25">
      <c r="A79" s="20" t="s">
        <v>44</v>
      </c>
      <c r="B79" s="25">
        <f t="shared" ref="B79:K79" si="25">+B41+B53+B58+B65+B70+B78</f>
        <v>111331779.88999999</v>
      </c>
      <c r="C79" s="25">
        <f t="shared" si="25"/>
        <v>111486562.14999999</v>
      </c>
      <c r="D79" s="25">
        <f t="shared" si="25"/>
        <v>186196.78</v>
      </c>
      <c r="E79" s="25">
        <f t="shared" si="25"/>
        <v>106422310.47999997</v>
      </c>
      <c r="F79" s="25">
        <f t="shared" si="25"/>
        <v>8.8348505908473474</v>
      </c>
      <c r="G79" s="25">
        <f t="shared" si="25"/>
        <v>6152237.1499999994</v>
      </c>
      <c r="H79" s="25">
        <f t="shared" si="25"/>
        <v>8648988.9900000021</v>
      </c>
      <c r="I79" s="25">
        <f t="shared" si="25"/>
        <v>5103832.99</v>
      </c>
      <c r="J79" s="25">
        <f t="shared" si="25"/>
        <v>7600584.8300000001</v>
      </c>
      <c r="K79" s="25">
        <f t="shared" si="25"/>
        <v>6152237.1499999985</v>
      </c>
      <c r="L79" s="27"/>
      <c r="M79" s="163"/>
    </row>
    <row r="80" spans="1:14" x14ac:dyDescent="0.25">
      <c r="A80" s="28"/>
      <c r="B80" s="29"/>
      <c r="C80" s="29"/>
      <c r="D80" s="29"/>
      <c r="E80" s="28"/>
      <c r="F80" s="28"/>
      <c r="G80" s="28"/>
      <c r="H80" s="28"/>
      <c r="I80" s="28"/>
      <c r="J80" s="28"/>
      <c r="K80" s="28"/>
      <c r="L80" s="30"/>
      <c r="M80" s="30"/>
    </row>
    <row r="81" spans="1:13" x14ac:dyDescent="0.25">
      <c r="A81" s="140"/>
      <c r="B81" s="19"/>
      <c r="C81" s="333" t="s">
        <v>45</v>
      </c>
      <c r="D81" s="333"/>
      <c r="E81" s="333"/>
      <c r="F81" s="333"/>
      <c r="G81" s="333"/>
      <c r="H81" s="333"/>
      <c r="I81" s="333"/>
      <c r="J81" s="19"/>
      <c r="K81" s="19"/>
      <c r="L81" s="19"/>
      <c r="M81" s="19"/>
    </row>
    <row r="82" spans="1:13" x14ac:dyDescent="0.25">
      <c r="A82" s="140"/>
      <c r="B82" s="19"/>
      <c r="C82" s="161"/>
      <c r="D82" s="161"/>
      <c r="E82" s="161"/>
      <c r="F82" s="161"/>
      <c r="G82" s="161"/>
      <c r="H82" s="161"/>
      <c r="I82" s="161"/>
      <c r="J82" s="19"/>
      <c r="K82" s="19"/>
      <c r="L82" s="19"/>
      <c r="M82" s="19"/>
    </row>
    <row r="83" spans="1:13" x14ac:dyDescent="0.25">
      <c r="A83" s="140"/>
      <c r="B83" s="325" t="s">
        <v>46</v>
      </c>
      <c r="C83" s="325"/>
      <c r="D83" s="326" t="s">
        <v>47</v>
      </c>
      <c r="E83" s="327"/>
      <c r="F83" s="328"/>
      <c r="G83" s="320" t="s">
        <v>48</v>
      </c>
      <c r="H83" s="320"/>
      <c r="I83" s="159" t="s">
        <v>10</v>
      </c>
      <c r="J83" s="19"/>
      <c r="K83" s="19"/>
      <c r="L83" s="19"/>
      <c r="M83" s="19"/>
    </row>
    <row r="84" spans="1:13" x14ac:dyDescent="0.25">
      <c r="A84" s="140"/>
      <c r="B84" s="329" t="s">
        <v>49</v>
      </c>
      <c r="C84" s="329"/>
      <c r="D84" s="330">
        <v>9645123.6099999994</v>
      </c>
      <c r="E84" s="331"/>
      <c r="F84" s="332">
        <v>0</v>
      </c>
      <c r="G84" s="330">
        <f>+D84</f>
        <v>9645123.6099999994</v>
      </c>
      <c r="H84" s="332"/>
      <c r="I84" s="33">
        <f>G84/D84</f>
        <v>1</v>
      </c>
      <c r="J84" s="19"/>
      <c r="K84" s="19"/>
      <c r="L84" s="19"/>
      <c r="M84" s="19"/>
    </row>
    <row r="85" spans="1:13" x14ac:dyDescent="0.25">
      <c r="A85" s="140"/>
      <c r="B85" s="320"/>
      <c r="C85" s="320"/>
      <c r="D85" s="321"/>
      <c r="E85" s="322"/>
      <c r="F85" s="323"/>
      <c r="G85" s="324"/>
      <c r="H85" s="324"/>
      <c r="I85" s="160"/>
      <c r="J85" s="19"/>
      <c r="K85" s="19"/>
      <c r="L85" s="19"/>
      <c r="M85" s="19"/>
    </row>
    <row r="86" spans="1:13" x14ac:dyDescent="0.25">
      <c r="A86" s="140"/>
      <c r="B86" s="320"/>
      <c r="C86" s="320"/>
      <c r="D86" s="321"/>
      <c r="E86" s="322"/>
      <c r="F86" s="323"/>
      <c r="G86" s="324"/>
      <c r="H86" s="324"/>
      <c r="I86" s="160"/>
      <c r="J86" s="19"/>
      <c r="K86" s="19"/>
      <c r="L86" s="19"/>
      <c r="M86" s="19"/>
    </row>
    <row r="87" spans="1:13" x14ac:dyDescent="0.25">
      <c r="A87" s="140"/>
      <c r="B87" s="320"/>
      <c r="C87" s="320"/>
      <c r="D87" s="321"/>
      <c r="E87" s="322"/>
      <c r="F87" s="323"/>
      <c r="G87" s="324"/>
      <c r="H87" s="324"/>
      <c r="I87" s="160"/>
      <c r="J87" s="19"/>
      <c r="K87" s="19"/>
      <c r="L87" s="19"/>
      <c r="M87" s="19"/>
    </row>
    <row r="88" spans="1:13" x14ac:dyDescent="0.25">
      <c r="A88" s="35" t="s">
        <v>50</v>
      </c>
      <c r="B88" s="36"/>
      <c r="C88" s="36"/>
      <c r="D88" s="36"/>
      <c r="E88" s="36"/>
      <c r="F88" s="36"/>
      <c r="G88" s="37"/>
      <c r="H88" s="37"/>
      <c r="I88" s="38"/>
      <c r="J88" s="19"/>
      <c r="K88" s="19"/>
      <c r="L88" s="19"/>
      <c r="M88" s="19"/>
    </row>
  </sheetData>
  <mergeCells count="33">
    <mergeCell ref="A1:L1"/>
    <mergeCell ref="A3:L3"/>
    <mergeCell ref="A6:L6"/>
    <mergeCell ref="A7:L7"/>
    <mergeCell ref="C8:G8"/>
    <mergeCell ref="H8:K8"/>
    <mergeCell ref="A9:A10"/>
    <mergeCell ref="B9:B10"/>
    <mergeCell ref="C9:C10"/>
    <mergeCell ref="D9:D10"/>
    <mergeCell ref="E9:E10"/>
    <mergeCell ref="J9:J10"/>
    <mergeCell ref="K9:K10"/>
    <mergeCell ref="B83:C83"/>
    <mergeCell ref="D83:F83"/>
    <mergeCell ref="G83:H83"/>
    <mergeCell ref="C81:I81"/>
    <mergeCell ref="F9:F10"/>
    <mergeCell ref="G9:G10"/>
    <mergeCell ref="H9:H10"/>
    <mergeCell ref="I9:I10"/>
    <mergeCell ref="B84:C84"/>
    <mergeCell ref="D84:F84"/>
    <mergeCell ref="G84:H84"/>
    <mergeCell ref="B87:C87"/>
    <mergeCell ref="D87:F87"/>
    <mergeCell ref="G87:H87"/>
    <mergeCell ref="B85:C85"/>
    <mergeCell ref="D85:F85"/>
    <mergeCell ref="G85:H85"/>
    <mergeCell ref="B86:C86"/>
    <mergeCell ref="D86:F86"/>
    <mergeCell ref="G86:H8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88"/>
  <sheetViews>
    <sheetView zoomScale="130" zoomScaleNormal="130" workbookViewId="0">
      <selection activeCell="G14" sqref="G14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3" width="16.5703125" style="1"/>
    <col min="14" max="14" width="24.28515625" style="165" customWidth="1"/>
    <col min="15" max="15" width="16.5703125" style="169" customWidth="1"/>
    <col min="16" max="17" width="16.5703125" style="141"/>
    <col min="18" max="257" width="16.5703125" style="1"/>
    <col min="258" max="258" width="16.5703125" style="1" customWidth="1"/>
    <col min="259" max="262" width="12.7109375" style="1" customWidth="1"/>
    <col min="263" max="263" width="6.5703125" style="1" bestFit="1" customWidth="1"/>
    <col min="264" max="268" width="12.7109375" style="1" customWidth="1"/>
    <col min="269" max="513" width="16.5703125" style="1"/>
    <col min="514" max="514" width="16.5703125" style="1" customWidth="1"/>
    <col min="515" max="518" width="12.7109375" style="1" customWidth="1"/>
    <col min="519" max="519" width="6.5703125" style="1" bestFit="1" customWidth="1"/>
    <col min="520" max="524" width="12.7109375" style="1" customWidth="1"/>
    <col min="525" max="769" width="16.5703125" style="1"/>
    <col min="770" max="770" width="16.5703125" style="1" customWidth="1"/>
    <col min="771" max="774" width="12.7109375" style="1" customWidth="1"/>
    <col min="775" max="775" width="6.5703125" style="1" bestFit="1" customWidth="1"/>
    <col min="776" max="780" width="12.7109375" style="1" customWidth="1"/>
    <col min="781" max="1025" width="16.5703125" style="1"/>
    <col min="1026" max="1026" width="16.5703125" style="1" customWidth="1"/>
    <col min="1027" max="1030" width="12.7109375" style="1" customWidth="1"/>
    <col min="1031" max="1031" width="6.5703125" style="1" bestFit="1" customWidth="1"/>
    <col min="1032" max="1036" width="12.7109375" style="1" customWidth="1"/>
    <col min="1037" max="1281" width="16.5703125" style="1"/>
    <col min="1282" max="1282" width="16.5703125" style="1" customWidth="1"/>
    <col min="1283" max="1286" width="12.7109375" style="1" customWidth="1"/>
    <col min="1287" max="1287" width="6.5703125" style="1" bestFit="1" customWidth="1"/>
    <col min="1288" max="1292" width="12.7109375" style="1" customWidth="1"/>
    <col min="1293" max="1537" width="16.5703125" style="1"/>
    <col min="1538" max="1538" width="16.5703125" style="1" customWidth="1"/>
    <col min="1539" max="1542" width="12.7109375" style="1" customWidth="1"/>
    <col min="1543" max="1543" width="6.5703125" style="1" bestFit="1" customWidth="1"/>
    <col min="1544" max="1548" width="12.7109375" style="1" customWidth="1"/>
    <col min="1549" max="1793" width="16.5703125" style="1"/>
    <col min="1794" max="1794" width="16.5703125" style="1" customWidth="1"/>
    <col min="1795" max="1798" width="12.7109375" style="1" customWidth="1"/>
    <col min="1799" max="1799" width="6.5703125" style="1" bestFit="1" customWidth="1"/>
    <col min="1800" max="1804" width="12.7109375" style="1" customWidth="1"/>
    <col min="1805" max="2049" width="16.5703125" style="1"/>
    <col min="2050" max="2050" width="16.5703125" style="1" customWidth="1"/>
    <col min="2051" max="2054" width="12.7109375" style="1" customWidth="1"/>
    <col min="2055" max="2055" width="6.5703125" style="1" bestFit="1" customWidth="1"/>
    <col min="2056" max="2060" width="12.7109375" style="1" customWidth="1"/>
    <col min="2061" max="2305" width="16.5703125" style="1"/>
    <col min="2306" max="2306" width="16.5703125" style="1" customWidth="1"/>
    <col min="2307" max="2310" width="12.7109375" style="1" customWidth="1"/>
    <col min="2311" max="2311" width="6.5703125" style="1" bestFit="1" customWidth="1"/>
    <col min="2312" max="2316" width="12.7109375" style="1" customWidth="1"/>
    <col min="2317" max="2561" width="16.5703125" style="1"/>
    <col min="2562" max="2562" width="16.5703125" style="1" customWidth="1"/>
    <col min="2563" max="2566" width="12.7109375" style="1" customWidth="1"/>
    <col min="2567" max="2567" width="6.5703125" style="1" bestFit="1" customWidth="1"/>
    <col min="2568" max="2572" width="12.7109375" style="1" customWidth="1"/>
    <col min="2573" max="2817" width="16.5703125" style="1"/>
    <col min="2818" max="2818" width="16.5703125" style="1" customWidth="1"/>
    <col min="2819" max="2822" width="12.7109375" style="1" customWidth="1"/>
    <col min="2823" max="2823" width="6.5703125" style="1" bestFit="1" customWidth="1"/>
    <col min="2824" max="2828" width="12.7109375" style="1" customWidth="1"/>
    <col min="2829" max="3073" width="16.5703125" style="1"/>
    <col min="3074" max="3074" width="16.5703125" style="1" customWidth="1"/>
    <col min="3075" max="3078" width="12.7109375" style="1" customWidth="1"/>
    <col min="3079" max="3079" width="6.5703125" style="1" bestFit="1" customWidth="1"/>
    <col min="3080" max="3084" width="12.7109375" style="1" customWidth="1"/>
    <col min="3085" max="3329" width="16.5703125" style="1"/>
    <col min="3330" max="3330" width="16.5703125" style="1" customWidth="1"/>
    <col min="3331" max="3334" width="12.7109375" style="1" customWidth="1"/>
    <col min="3335" max="3335" width="6.5703125" style="1" bestFit="1" customWidth="1"/>
    <col min="3336" max="3340" width="12.7109375" style="1" customWidth="1"/>
    <col min="3341" max="3585" width="16.5703125" style="1"/>
    <col min="3586" max="3586" width="16.5703125" style="1" customWidth="1"/>
    <col min="3587" max="3590" width="12.7109375" style="1" customWidth="1"/>
    <col min="3591" max="3591" width="6.5703125" style="1" bestFit="1" customWidth="1"/>
    <col min="3592" max="3596" width="12.7109375" style="1" customWidth="1"/>
    <col min="3597" max="3841" width="16.5703125" style="1"/>
    <col min="3842" max="3842" width="16.5703125" style="1" customWidth="1"/>
    <col min="3843" max="3846" width="12.7109375" style="1" customWidth="1"/>
    <col min="3847" max="3847" width="6.5703125" style="1" bestFit="1" customWidth="1"/>
    <col min="3848" max="3852" width="12.7109375" style="1" customWidth="1"/>
    <col min="3853" max="4097" width="16.5703125" style="1"/>
    <col min="4098" max="4098" width="16.5703125" style="1" customWidth="1"/>
    <col min="4099" max="4102" width="12.7109375" style="1" customWidth="1"/>
    <col min="4103" max="4103" width="6.5703125" style="1" bestFit="1" customWidth="1"/>
    <col min="4104" max="4108" width="12.7109375" style="1" customWidth="1"/>
    <col min="4109" max="4353" width="16.5703125" style="1"/>
    <col min="4354" max="4354" width="16.5703125" style="1" customWidth="1"/>
    <col min="4355" max="4358" width="12.7109375" style="1" customWidth="1"/>
    <col min="4359" max="4359" width="6.5703125" style="1" bestFit="1" customWidth="1"/>
    <col min="4360" max="4364" width="12.7109375" style="1" customWidth="1"/>
    <col min="4365" max="4609" width="16.5703125" style="1"/>
    <col min="4610" max="4610" width="16.5703125" style="1" customWidth="1"/>
    <col min="4611" max="4614" width="12.7109375" style="1" customWidth="1"/>
    <col min="4615" max="4615" width="6.5703125" style="1" bestFit="1" customWidth="1"/>
    <col min="4616" max="4620" width="12.7109375" style="1" customWidth="1"/>
    <col min="4621" max="4865" width="16.5703125" style="1"/>
    <col min="4866" max="4866" width="16.5703125" style="1" customWidth="1"/>
    <col min="4867" max="4870" width="12.7109375" style="1" customWidth="1"/>
    <col min="4871" max="4871" width="6.5703125" style="1" bestFit="1" customWidth="1"/>
    <col min="4872" max="4876" width="12.7109375" style="1" customWidth="1"/>
    <col min="4877" max="5121" width="16.5703125" style="1"/>
    <col min="5122" max="5122" width="16.5703125" style="1" customWidth="1"/>
    <col min="5123" max="5126" width="12.7109375" style="1" customWidth="1"/>
    <col min="5127" max="5127" width="6.5703125" style="1" bestFit="1" customWidth="1"/>
    <col min="5128" max="5132" width="12.7109375" style="1" customWidth="1"/>
    <col min="5133" max="5377" width="16.5703125" style="1"/>
    <col min="5378" max="5378" width="16.5703125" style="1" customWidth="1"/>
    <col min="5379" max="5382" width="12.7109375" style="1" customWidth="1"/>
    <col min="5383" max="5383" width="6.5703125" style="1" bestFit="1" customWidth="1"/>
    <col min="5384" max="5388" width="12.7109375" style="1" customWidth="1"/>
    <col min="5389" max="5633" width="16.5703125" style="1"/>
    <col min="5634" max="5634" width="16.5703125" style="1" customWidth="1"/>
    <col min="5635" max="5638" width="12.7109375" style="1" customWidth="1"/>
    <col min="5639" max="5639" width="6.5703125" style="1" bestFit="1" customWidth="1"/>
    <col min="5640" max="5644" width="12.7109375" style="1" customWidth="1"/>
    <col min="5645" max="5889" width="16.5703125" style="1"/>
    <col min="5890" max="5890" width="16.5703125" style="1" customWidth="1"/>
    <col min="5891" max="5894" width="12.7109375" style="1" customWidth="1"/>
    <col min="5895" max="5895" width="6.5703125" style="1" bestFit="1" customWidth="1"/>
    <col min="5896" max="5900" width="12.7109375" style="1" customWidth="1"/>
    <col min="5901" max="6145" width="16.5703125" style="1"/>
    <col min="6146" max="6146" width="16.5703125" style="1" customWidth="1"/>
    <col min="6147" max="6150" width="12.7109375" style="1" customWidth="1"/>
    <col min="6151" max="6151" width="6.5703125" style="1" bestFit="1" customWidth="1"/>
    <col min="6152" max="6156" width="12.7109375" style="1" customWidth="1"/>
    <col min="6157" max="6401" width="16.5703125" style="1"/>
    <col min="6402" max="6402" width="16.5703125" style="1" customWidth="1"/>
    <col min="6403" max="6406" width="12.7109375" style="1" customWidth="1"/>
    <col min="6407" max="6407" width="6.5703125" style="1" bestFit="1" customWidth="1"/>
    <col min="6408" max="6412" width="12.7109375" style="1" customWidth="1"/>
    <col min="6413" max="6657" width="16.5703125" style="1"/>
    <col min="6658" max="6658" width="16.5703125" style="1" customWidth="1"/>
    <col min="6659" max="6662" width="12.7109375" style="1" customWidth="1"/>
    <col min="6663" max="6663" width="6.5703125" style="1" bestFit="1" customWidth="1"/>
    <col min="6664" max="6668" width="12.7109375" style="1" customWidth="1"/>
    <col min="6669" max="6913" width="16.5703125" style="1"/>
    <col min="6914" max="6914" width="16.5703125" style="1" customWidth="1"/>
    <col min="6915" max="6918" width="12.7109375" style="1" customWidth="1"/>
    <col min="6919" max="6919" width="6.5703125" style="1" bestFit="1" customWidth="1"/>
    <col min="6920" max="6924" width="12.7109375" style="1" customWidth="1"/>
    <col min="6925" max="7169" width="16.5703125" style="1"/>
    <col min="7170" max="7170" width="16.5703125" style="1" customWidth="1"/>
    <col min="7171" max="7174" width="12.7109375" style="1" customWidth="1"/>
    <col min="7175" max="7175" width="6.5703125" style="1" bestFit="1" customWidth="1"/>
    <col min="7176" max="7180" width="12.7109375" style="1" customWidth="1"/>
    <col min="7181" max="7425" width="16.5703125" style="1"/>
    <col min="7426" max="7426" width="16.5703125" style="1" customWidth="1"/>
    <col min="7427" max="7430" width="12.7109375" style="1" customWidth="1"/>
    <col min="7431" max="7431" width="6.5703125" style="1" bestFit="1" customWidth="1"/>
    <col min="7432" max="7436" width="12.7109375" style="1" customWidth="1"/>
    <col min="7437" max="7681" width="16.5703125" style="1"/>
    <col min="7682" max="7682" width="16.5703125" style="1" customWidth="1"/>
    <col min="7683" max="7686" width="12.7109375" style="1" customWidth="1"/>
    <col min="7687" max="7687" width="6.5703125" style="1" bestFit="1" customWidth="1"/>
    <col min="7688" max="7692" width="12.7109375" style="1" customWidth="1"/>
    <col min="7693" max="7937" width="16.5703125" style="1"/>
    <col min="7938" max="7938" width="16.5703125" style="1" customWidth="1"/>
    <col min="7939" max="7942" width="12.7109375" style="1" customWidth="1"/>
    <col min="7943" max="7943" width="6.5703125" style="1" bestFit="1" customWidth="1"/>
    <col min="7944" max="7948" width="12.7109375" style="1" customWidth="1"/>
    <col min="7949" max="8193" width="16.5703125" style="1"/>
    <col min="8194" max="8194" width="16.5703125" style="1" customWidth="1"/>
    <col min="8195" max="8198" width="12.7109375" style="1" customWidth="1"/>
    <col min="8199" max="8199" width="6.5703125" style="1" bestFit="1" customWidth="1"/>
    <col min="8200" max="8204" width="12.7109375" style="1" customWidth="1"/>
    <col min="8205" max="8449" width="16.5703125" style="1"/>
    <col min="8450" max="8450" width="16.5703125" style="1" customWidth="1"/>
    <col min="8451" max="8454" width="12.7109375" style="1" customWidth="1"/>
    <col min="8455" max="8455" width="6.5703125" style="1" bestFit="1" customWidth="1"/>
    <col min="8456" max="8460" width="12.7109375" style="1" customWidth="1"/>
    <col min="8461" max="8705" width="16.5703125" style="1"/>
    <col min="8706" max="8706" width="16.5703125" style="1" customWidth="1"/>
    <col min="8707" max="8710" width="12.7109375" style="1" customWidth="1"/>
    <col min="8711" max="8711" width="6.5703125" style="1" bestFit="1" customWidth="1"/>
    <col min="8712" max="8716" width="12.7109375" style="1" customWidth="1"/>
    <col min="8717" max="8961" width="16.5703125" style="1"/>
    <col min="8962" max="8962" width="16.5703125" style="1" customWidth="1"/>
    <col min="8963" max="8966" width="12.7109375" style="1" customWidth="1"/>
    <col min="8967" max="8967" width="6.5703125" style="1" bestFit="1" customWidth="1"/>
    <col min="8968" max="8972" width="12.7109375" style="1" customWidth="1"/>
    <col min="8973" max="9217" width="16.5703125" style="1"/>
    <col min="9218" max="9218" width="16.5703125" style="1" customWidth="1"/>
    <col min="9219" max="9222" width="12.7109375" style="1" customWidth="1"/>
    <col min="9223" max="9223" width="6.5703125" style="1" bestFit="1" customWidth="1"/>
    <col min="9224" max="9228" width="12.7109375" style="1" customWidth="1"/>
    <col min="9229" max="9473" width="16.5703125" style="1"/>
    <col min="9474" max="9474" width="16.5703125" style="1" customWidth="1"/>
    <col min="9475" max="9478" width="12.7109375" style="1" customWidth="1"/>
    <col min="9479" max="9479" width="6.5703125" style="1" bestFit="1" customWidth="1"/>
    <col min="9480" max="9484" width="12.7109375" style="1" customWidth="1"/>
    <col min="9485" max="9729" width="16.5703125" style="1"/>
    <col min="9730" max="9730" width="16.5703125" style="1" customWidth="1"/>
    <col min="9731" max="9734" width="12.7109375" style="1" customWidth="1"/>
    <col min="9735" max="9735" width="6.5703125" style="1" bestFit="1" customWidth="1"/>
    <col min="9736" max="9740" width="12.7109375" style="1" customWidth="1"/>
    <col min="9741" max="9985" width="16.5703125" style="1"/>
    <col min="9986" max="9986" width="16.5703125" style="1" customWidth="1"/>
    <col min="9987" max="9990" width="12.7109375" style="1" customWidth="1"/>
    <col min="9991" max="9991" width="6.5703125" style="1" bestFit="1" customWidth="1"/>
    <col min="9992" max="9996" width="12.7109375" style="1" customWidth="1"/>
    <col min="9997" max="10241" width="16.5703125" style="1"/>
    <col min="10242" max="10242" width="16.5703125" style="1" customWidth="1"/>
    <col min="10243" max="10246" width="12.7109375" style="1" customWidth="1"/>
    <col min="10247" max="10247" width="6.5703125" style="1" bestFit="1" customWidth="1"/>
    <col min="10248" max="10252" width="12.7109375" style="1" customWidth="1"/>
    <col min="10253" max="10497" width="16.5703125" style="1"/>
    <col min="10498" max="10498" width="16.5703125" style="1" customWidth="1"/>
    <col min="10499" max="10502" width="12.7109375" style="1" customWidth="1"/>
    <col min="10503" max="10503" width="6.5703125" style="1" bestFit="1" customWidth="1"/>
    <col min="10504" max="10508" width="12.7109375" style="1" customWidth="1"/>
    <col min="10509" max="10753" width="16.5703125" style="1"/>
    <col min="10754" max="10754" width="16.5703125" style="1" customWidth="1"/>
    <col min="10755" max="10758" width="12.7109375" style="1" customWidth="1"/>
    <col min="10759" max="10759" width="6.5703125" style="1" bestFit="1" customWidth="1"/>
    <col min="10760" max="10764" width="12.7109375" style="1" customWidth="1"/>
    <col min="10765" max="11009" width="16.5703125" style="1"/>
    <col min="11010" max="11010" width="16.5703125" style="1" customWidth="1"/>
    <col min="11011" max="11014" width="12.7109375" style="1" customWidth="1"/>
    <col min="11015" max="11015" width="6.5703125" style="1" bestFit="1" customWidth="1"/>
    <col min="11016" max="11020" width="12.7109375" style="1" customWidth="1"/>
    <col min="11021" max="11265" width="16.5703125" style="1"/>
    <col min="11266" max="11266" width="16.5703125" style="1" customWidth="1"/>
    <col min="11267" max="11270" width="12.7109375" style="1" customWidth="1"/>
    <col min="11271" max="11271" width="6.5703125" style="1" bestFit="1" customWidth="1"/>
    <col min="11272" max="11276" width="12.7109375" style="1" customWidth="1"/>
    <col min="11277" max="11521" width="16.5703125" style="1"/>
    <col min="11522" max="11522" width="16.5703125" style="1" customWidth="1"/>
    <col min="11523" max="11526" width="12.7109375" style="1" customWidth="1"/>
    <col min="11527" max="11527" width="6.5703125" style="1" bestFit="1" customWidth="1"/>
    <col min="11528" max="11532" width="12.7109375" style="1" customWidth="1"/>
    <col min="11533" max="11777" width="16.5703125" style="1"/>
    <col min="11778" max="11778" width="16.5703125" style="1" customWidth="1"/>
    <col min="11779" max="11782" width="12.7109375" style="1" customWidth="1"/>
    <col min="11783" max="11783" width="6.5703125" style="1" bestFit="1" customWidth="1"/>
    <col min="11784" max="11788" width="12.7109375" style="1" customWidth="1"/>
    <col min="11789" max="12033" width="16.5703125" style="1"/>
    <col min="12034" max="12034" width="16.5703125" style="1" customWidth="1"/>
    <col min="12035" max="12038" width="12.7109375" style="1" customWidth="1"/>
    <col min="12039" max="12039" width="6.5703125" style="1" bestFit="1" customWidth="1"/>
    <col min="12040" max="12044" width="12.7109375" style="1" customWidth="1"/>
    <col min="12045" max="12289" width="16.5703125" style="1"/>
    <col min="12290" max="12290" width="16.5703125" style="1" customWidth="1"/>
    <col min="12291" max="12294" width="12.7109375" style="1" customWidth="1"/>
    <col min="12295" max="12295" width="6.5703125" style="1" bestFit="1" customWidth="1"/>
    <col min="12296" max="12300" width="12.7109375" style="1" customWidth="1"/>
    <col min="12301" max="12545" width="16.5703125" style="1"/>
    <col min="12546" max="12546" width="16.5703125" style="1" customWidth="1"/>
    <col min="12547" max="12550" width="12.7109375" style="1" customWidth="1"/>
    <col min="12551" max="12551" width="6.5703125" style="1" bestFit="1" customWidth="1"/>
    <col min="12552" max="12556" width="12.7109375" style="1" customWidth="1"/>
    <col min="12557" max="12801" width="16.5703125" style="1"/>
    <col min="12802" max="12802" width="16.5703125" style="1" customWidth="1"/>
    <col min="12803" max="12806" width="12.7109375" style="1" customWidth="1"/>
    <col min="12807" max="12807" width="6.5703125" style="1" bestFit="1" customWidth="1"/>
    <col min="12808" max="12812" width="12.7109375" style="1" customWidth="1"/>
    <col min="12813" max="13057" width="16.5703125" style="1"/>
    <col min="13058" max="13058" width="16.5703125" style="1" customWidth="1"/>
    <col min="13059" max="13062" width="12.7109375" style="1" customWidth="1"/>
    <col min="13063" max="13063" width="6.5703125" style="1" bestFit="1" customWidth="1"/>
    <col min="13064" max="13068" width="12.7109375" style="1" customWidth="1"/>
    <col min="13069" max="13313" width="16.5703125" style="1"/>
    <col min="13314" max="13314" width="16.5703125" style="1" customWidth="1"/>
    <col min="13315" max="13318" width="12.7109375" style="1" customWidth="1"/>
    <col min="13319" max="13319" width="6.5703125" style="1" bestFit="1" customWidth="1"/>
    <col min="13320" max="13324" width="12.7109375" style="1" customWidth="1"/>
    <col min="13325" max="13569" width="16.5703125" style="1"/>
    <col min="13570" max="13570" width="16.5703125" style="1" customWidth="1"/>
    <col min="13571" max="13574" width="12.7109375" style="1" customWidth="1"/>
    <col min="13575" max="13575" width="6.5703125" style="1" bestFit="1" customWidth="1"/>
    <col min="13576" max="13580" width="12.7109375" style="1" customWidth="1"/>
    <col min="13581" max="13825" width="16.5703125" style="1"/>
    <col min="13826" max="13826" width="16.5703125" style="1" customWidth="1"/>
    <col min="13827" max="13830" width="12.7109375" style="1" customWidth="1"/>
    <col min="13831" max="13831" width="6.5703125" style="1" bestFit="1" customWidth="1"/>
    <col min="13832" max="13836" width="12.7109375" style="1" customWidth="1"/>
    <col min="13837" max="14081" width="16.5703125" style="1"/>
    <col min="14082" max="14082" width="16.5703125" style="1" customWidth="1"/>
    <col min="14083" max="14086" width="12.7109375" style="1" customWidth="1"/>
    <col min="14087" max="14087" width="6.5703125" style="1" bestFit="1" customWidth="1"/>
    <col min="14088" max="14092" width="12.7109375" style="1" customWidth="1"/>
    <col min="14093" max="14337" width="16.5703125" style="1"/>
    <col min="14338" max="14338" width="16.5703125" style="1" customWidth="1"/>
    <col min="14339" max="14342" width="12.7109375" style="1" customWidth="1"/>
    <col min="14343" max="14343" width="6.5703125" style="1" bestFit="1" customWidth="1"/>
    <col min="14344" max="14348" width="12.7109375" style="1" customWidth="1"/>
    <col min="14349" max="14593" width="16.5703125" style="1"/>
    <col min="14594" max="14594" width="16.5703125" style="1" customWidth="1"/>
    <col min="14595" max="14598" width="12.7109375" style="1" customWidth="1"/>
    <col min="14599" max="14599" width="6.5703125" style="1" bestFit="1" customWidth="1"/>
    <col min="14600" max="14604" width="12.7109375" style="1" customWidth="1"/>
    <col min="14605" max="14849" width="16.5703125" style="1"/>
    <col min="14850" max="14850" width="16.5703125" style="1" customWidth="1"/>
    <col min="14851" max="14854" width="12.7109375" style="1" customWidth="1"/>
    <col min="14855" max="14855" width="6.5703125" style="1" bestFit="1" customWidth="1"/>
    <col min="14856" max="14860" width="12.7109375" style="1" customWidth="1"/>
    <col min="14861" max="15105" width="16.5703125" style="1"/>
    <col min="15106" max="15106" width="16.5703125" style="1" customWidth="1"/>
    <col min="15107" max="15110" width="12.7109375" style="1" customWidth="1"/>
    <col min="15111" max="15111" width="6.5703125" style="1" bestFit="1" customWidth="1"/>
    <col min="15112" max="15116" width="12.7109375" style="1" customWidth="1"/>
    <col min="15117" max="15361" width="16.5703125" style="1"/>
    <col min="15362" max="15362" width="16.5703125" style="1" customWidth="1"/>
    <col min="15363" max="15366" width="12.7109375" style="1" customWidth="1"/>
    <col min="15367" max="15367" width="6.5703125" style="1" bestFit="1" customWidth="1"/>
    <col min="15368" max="15372" width="12.7109375" style="1" customWidth="1"/>
    <col min="15373" max="15617" width="16.5703125" style="1"/>
    <col min="15618" max="15618" width="16.5703125" style="1" customWidth="1"/>
    <col min="15619" max="15622" width="12.7109375" style="1" customWidth="1"/>
    <col min="15623" max="15623" width="6.5703125" style="1" bestFit="1" customWidth="1"/>
    <col min="15624" max="15628" width="12.7109375" style="1" customWidth="1"/>
    <col min="15629" max="15873" width="16.5703125" style="1"/>
    <col min="15874" max="15874" width="16.5703125" style="1" customWidth="1"/>
    <col min="15875" max="15878" width="12.7109375" style="1" customWidth="1"/>
    <col min="15879" max="15879" width="6.5703125" style="1" bestFit="1" customWidth="1"/>
    <col min="15880" max="15884" width="12.7109375" style="1" customWidth="1"/>
    <col min="15885" max="16129" width="16.5703125" style="1"/>
    <col min="16130" max="16130" width="16.5703125" style="1" customWidth="1"/>
    <col min="16131" max="16134" width="12.7109375" style="1" customWidth="1"/>
    <col min="16135" max="16135" width="6.5703125" style="1" bestFit="1" customWidth="1"/>
    <col min="16136" max="16140" width="12.7109375" style="1" customWidth="1"/>
    <col min="16141" max="16384" width="16.5703125" style="1"/>
  </cols>
  <sheetData>
    <row r="1" spans="1:17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176"/>
      <c r="O1" s="186"/>
    </row>
    <row r="2" spans="1:17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86"/>
    </row>
    <row r="3" spans="1:17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176"/>
      <c r="O3" s="186"/>
    </row>
    <row r="4" spans="1:17" x14ac:dyDescent="0.25">
      <c r="A4" s="3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O4" s="186"/>
    </row>
    <row r="5" spans="1:17" x14ac:dyDescent="0.25">
      <c r="A5" s="3" t="s">
        <v>55</v>
      </c>
      <c r="B5" s="5"/>
      <c r="C5" s="5"/>
      <c r="D5" s="5"/>
      <c r="E5" s="6"/>
      <c r="F5" s="6"/>
      <c r="G5" s="149"/>
      <c r="H5" s="150"/>
      <c r="I5" s="149"/>
      <c r="O5" s="186"/>
    </row>
    <row r="6" spans="1:17" x14ac:dyDescent="0.25">
      <c r="A6" s="334" t="s">
        <v>54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O6" s="186"/>
    </row>
    <row r="7" spans="1:17" x14ac:dyDescent="0.25">
      <c r="A7" s="334" t="s">
        <v>61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O7" s="186"/>
    </row>
    <row r="8" spans="1:17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  <c r="O8" s="186"/>
    </row>
    <row r="9" spans="1:17" s="17" customForma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30"/>
      <c r="N9" s="166"/>
      <c r="O9" s="187"/>
      <c r="P9" s="142"/>
      <c r="Q9" s="142"/>
    </row>
    <row r="10" spans="1:17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M10" s="30"/>
      <c r="O10" s="186"/>
    </row>
    <row r="11" spans="1:17" s="17" customFormat="1" x14ac:dyDescent="0.25">
      <c r="A11" s="139" t="s">
        <v>18</v>
      </c>
      <c r="B11" s="14">
        <v>14556397.630000001</v>
      </c>
      <c r="C11" s="14">
        <v>3319469.71</v>
      </c>
      <c r="D11" s="11">
        <v>0</v>
      </c>
      <c r="E11" s="14">
        <v>1508297.14</v>
      </c>
      <c r="F11" s="14">
        <f>+E11/C11</f>
        <v>0.45437894355722253</v>
      </c>
      <c r="G11" s="14">
        <f t="shared" ref="G11:G24" si="0">+C11+D11-E11</f>
        <v>1811172.57</v>
      </c>
      <c r="H11" s="11">
        <f>49960.05+806197.74</f>
        <v>856157.79</v>
      </c>
      <c r="I11" s="14">
        <v>1003496.27</v>
      </c>
      <c r="J11" s="14">
        <f>5017+43464.49</f>
        <v>48481.49</v>
      </c>
      <c r="K11" s="14">
        <f>H11+I11-J11</f>
        <v>1811172.57</v>
      </c>
      <c r="L11" s="15">
        <f>+F11</f>
        <v>0.45437894355722253</v>
      </c>
      <c r="M11" s="163"/>
      <c r="N11" s="62">
        <f>+K11-G11</f>
        <v>0</v>
      </c>
      <c r="O11" s="114">
        <f>+N11+N12</f>
        <v>0</v>
      </c>
      <c r="P11" s="153"/>
      <c r="Q11" s="142"/>
    </row>
    <row r="12" spans="1:17" x14ac:dyDescent="0.2">
      <c r="A12" s="139" t="s">
        <v>20</v>
      </c>
      <c r="B12" s="14">
        <v>25163492</v>
      </c>
      <c r="C12" s="11">
        <v>4120756.2</v>
      </c>
      <c r="D12" s="11">
        <v>0</v>
      </c>
      <c r="E12" s="14">
        <v>3368853.28</v>
      </c>
      <c r="F12" s="14">
        <f t="shared" ref="F12:F17" si="1">+E12/C12</f>
        <v>0.81753278196851331</v>
      </c>
      <c r="G12" s="14">
        <f t="shared" si="0"/>
        <v>751902.92000000039</v>
      </c>
      <c r="H12" s="11">
        <v>848292.9</v>
      </c>
      <c r="I12" s="14">
        <v>133616.01999999999</v>
      </c>
      <c r="J12" s="14">
        <f>269042-39036</f>
        <v>230006</v>
      </c>
      <c r="K12" s="14">
        <f t="shared" ref="K12:K20" si="2">H12+I12-J12</f>
        <v>751902.92</v>
      </c>
      <c r="L12" s="15">
        <f t="shared" ref="L12:L24" si="3">+F12</f>
        <v>0.81753278196851331</v>
      </c>
      <c r="M12" s="163"/>
      <c r="N12" s="62">
        <f>+K12-G12</f>
        <v>0</v>
      </c>
      <c r="O12" s="189"/>
      <c r="P12" s="151"/>
    </row>
    <row r="13" spans="1:17" x14ac:dyDescent="0.2">
      <c r="A13" s="139" t="s">
        <v>21</v>
      </c>
      <c r="B13" s="14">
        <v>185773</v>
      </c>
      <c r="C13" s="11">
        <v>81680.63</v>
      </c>
      <c r="D13" s="11">
        <v>0</v>
      </c>
      <c r="E13" s="11">
        <v>0</v>
      </c>
      <c r="F13" s="14">
        <f t="shared" si="1"/>
        <v>0</v>
      </c>
      <c r="G13" s="14">
        <f t="shared" si="0"/>
        <v>81680.63</v>
      </c>
      <c r="H13" s="11">
        <v>81690.63</v>
      </c>
      <c r="I13" s="14">
        <v>0</v>
      </c>
      <c r="J13" s="14">
        <v>10</v>
      </c>
      <c r="K13" s="14">
        <f t="shared" si="2"/>
        <v>81680.63</v>
      </c>
      <c r="L13" s="15">
        <f t="shared" si="3"/>
        <v>0</v>
      </c>
      <c r="M13" s="163"/>
      <c r="N13" s="62">
        <f>+K13-G13</f>
        <v>0</v>
      </c>
      <c r="O13" s="190"/>
    </row>
    <row r="14" spans="1:17" x14ac:dyDescent="0.2">
      <c r="A14" s="139" t="s">
        <v>22</v>
      </c>
      <c r="B14" s="14">
        <v>388669</v>
      </c>
      <c r="C14" s="11">
        <v>162255.44</v>
      </c>
      <c r="D14" s="11">
        <v>0</v>
      </c>
      <c r="E14" s="11">
        <v>0</v>
      </c>
      <c r="F14" s="14">
        <f t="shared" si="1"/>
        <v>0</v>
      </c>
      <c r="G14" s="14">
        <f t="shared" si="0"/>
        <v>162255.44</v>
      </c>
      <c r="H14" s="11">
        <v>162255.44</v>
      </c>
      <c r="I14" s="14">
        <v>0</v>
      </c>
      <c r="J14" s="14">
        <v>0</v>
      </c>
      <c r="K14" s="14">
        <f t="shared" si="2"/>
        <v>162255.44</v>
      </c>
      <c r="L14" s="15">
        <f t="shared" si="3"/>
        <v>0</v>
      </c>
      <c r="M14" s="163"/>
      <c r="N14" s="62">
        <f>+K14-G14</f>
        <v>0</v>
      </c>
      <c r="O14" s="190"/>
    </row>
    <row r="15" spans="1:17" x14ac:dyDescent="0.2">
      <c r="A15" s="139" t="s">
        <v>23</v>
      </c>
      <c r="B15" s="14">
        <v>1307315</v>
      </c>
      <c r="C15" s="11">
        <v>345999.07</v>
      </c>
      <c r="D15" s="11">
        <v>0</v>
      </c>
      <c r="E15" s="11">
        <v>121900.29</v>
      </c>
      <c r="F15" s="14">
        <f t="shared" si="1"/>
        <v>0.35231392384956406</v>
      </c>
      <c r="G15" s="14">
        <f t="shared" si="0"/>
        <v>224098.78000000003</v>
      </c>
      <c r="H15" s="11">
        <v>229098.78</v>
      </c>
      <c r="I15" s="14">
        <v>0</v>
      </c>
      <c r="J15" s="14">
        <v>5000</v>
      </c>
      <c r="K15" s="14">
        <f t="shared" si="2"/>
        <v>224098.78</v>
      </c>
      <c r="L15" s="15">
        <f t="shared" si="3"/>
        <v>0.35231392384956406</v>
      </c>
      <c r="M15" s="163"/>
      <c r="N15" s="62">
        <f t="shared" ref="N15:N20" si="4">+K15-G15</f>
        <v>0</v>
      </c>
      <c r="O15" s="190"/>
    </row>
    <row r="16" spans="1:17" x14ac:dyDescent="0.2">
      <c r="A16" s="139" t="s">
        <v>24</v>
      </c>
      <c r="B16" s="14">
        <v>14002815</v>
      </c>
      <c r="C16" s="11">
        <v>2539745.96</v>
      </c>
      <c r="D16" s="11">
        <v>0</v>
      </c>
      <c r="E16" s="14">
        <v>1838817.5</v>
      </c>
      <c r="F16" s="14">
        <f t="shared" si="1"/>
        <v>0.72401631067069405</v>
      </c>
      <c r="G16" s="14">
        <f t="shared" si="0"/>
        <v>700928.46</v>
      </c>
      <c r="H16" s="11">
        <v>1676862.46</v>
      </c>
      <c r="I16" s="14">
        <v>11000</v>
      </c>
      <c r="J16" s="14">
        <f>115172+871762</f>
        <v>986934</v>
      </c>
      <c r="K16" s="14">
        <f t="shared" si="2"/>
        <v>700928.46</v>
      </c>
      <c r="L16" s="15">
        <f t="shared" si="3"/>
        <v>0.72401631067069405</v>
      </c>
      <c r="M16" s="163"/>
      <c r="N16" s="62">
        <f t="shared" si="4"/>
        <v>0</v>
      </c>
      <c r="O16" s="190"/>
      <c r="P16" s="151"/>
    </row>
    <row r="17" spans="1:19" x14ac:dyDescent="0.2">
      <c r="A17" s="139" t="s">
        <v>25</v>
      </c>
      <c r="B17" s="14">
        <v>463393</v>
      </c>
      <c r="C17" s="11">
        <v>215996.88</v>
      </c>
      <c r="D17" s="11">
        <v>0</v>
      </c>
      <c r="E17" s="14">
        <v>38916</v>
      </c>
      <c r="F17" s="14">
        <f t="shared" si="1"/>
        <v>0.18016926911166495</v>
      </c>
      <c r="G17" s="14">
        <f t="shared" si="0"/>
        <v>177080.88</v>
      </c>
      <c r="H17" s="11">
        <v>155612.01</v>
      </c>
      <c r="I17" s="14">
        <v>21468.87</v>
      </c>
      <c r="J17" s="14">
        <v>0</v>
      </c>
      <c r="K17" s="14">
        <f t="shared" si="2"/>
        <v>177080.88</v>
      </c>
      <c r="L17" s="15">
        <f t="shared" si="3"/>
        <v>0.18016926911166495</v>
      </c>
      <c r="M17" s="163"/>
      <c r="N17" s="62">
        <f t="shared" si="4"/>
        <v>0</v>
      </c>
      <c r="O17" s="190"/>
    </row>
    <row r="18" spans="1:19" x14ac:dyDescent="0.2">
      <c r="A18" s="139" t="s">
        <v>53</v>
      </c>
      <c r="B18" s="14">
        <v>0</v>
      </c>
      <c r="C18" s="11">
        <v>79938.210000000006</v>
      </c>
      <c r="D18" s="11">
        <v>0</v>
      </c>
      <c r="E18" s="11">
        <v>0</v>
      </c>
      <c r="F18" s="14">
        <v>0</v>
      </c>
      <c r="G18" s="14">
        <f t="shared" si="0"/>
        <v>79938.210000000006</v>
      </c>
      <c r="H18" s="11">
        <v>79938.210000000006</v>
      </c>
      <c r="I18" s="14"/>
      <c r="J18" s="14">
        <v>0</v>
      </c>
      <c r="K18" s="14">
        <f t="shared" si="2"/>
        <v>79938.210000000006</v>
      </c>
      <c r="L18" s="15">
        <f t="shared" si="3"/>
        <v>0</v>
      </c>
      <c r="M18" s="163"/>
      <c r="N18" s="62">
        <f t="shared" si="4"/>
        <v>0</v>
      </c>
      <c r="O18" s="190"/>
    </row>
    <row r="19" spans="1:19" x14ac:dyDescent="0.2">
      <c r="A19" s="139" t="s">
        <v>27</v>
      </c>
      <c r="B19" s="14">
        <v>0</v>
      </c>
      <c r="C19" s="11">
        <v>0</v>
      </c>
      <c r="D19" s="11">
        <v>0</v>
      </c>
      <c r="E19" s="11">
        <v>0</v>
      </c>
      <c r="F19" s="14">
        <v>0</v>
      </c>
      <c r="G19" s="14">
        <f t="shared" si="0"/>
        <v>0</v>
      </c>
      <c r="H19" s="11">
        <v>0</v>
      </c>
      <c r="I19" s="14"/>
      <c r="J19" s="14">
        <v>0</v>
      </c>
      <c r="K19" s="14">
        <f t="shared" si="2"/>
        <v>0</v>
      </c>
      <c r="L19" s="15">
        <f t="shared" si="3"/>
        <v>0</v>
      </c>
      <c r="M19" s="163"/>
      <c r="N19" s="62">
        <f t="shared" si="4"/>
        <v>0</v>
      </c>
      <c r="O19" s="190"/>
    </row>
    <row r="20" spans="1:19" x14ac:dyDescent="0.2">
      <c r="A20" s="139" t="s">
        <v>28</v>
      </c>
      <c r="B20" s="14">
        <v>47686</v>
      </c>
      <c r="C20" s="11">
        <v>15002.64</v>
      </c>
      <c r="D20" s="11">
        <v>0</v>
      </c>
      <c r="E20" s="11">
        <v>0</v>
      </c>
      <c r="F20" s="14">
        <v>0</v>
      </c>
      <c r="G20" s="14">
        <f t="shared" si="0"/>
        <v>15002.64</v>
      </c>
      <c r="H20" s="11">
        <v>15002.64</v>
      </c>
      <c r="I20" s="14"/>
      <c r="J20" s="14">
        <v>0</v>
      </c>
      <c r="K20" s="14">
        <f t="shared" si="2"/>
        <v>15002.64</v>
      </c>
      <c r="L20" s="15">
        <f t="shared" si="3"/>
        <v>0</v>
      </c>
      <c r="M20" s="163"/>
      <c r="N20" s="62">
        <f t="shared" si="4"/>
        <v>0</v>
      </c>
      <c r="O20" s="152"/>
    </row>
    <row r="21" spans="1:19" x14ac:dyDescent="0.2">
      <c r="A21" s="139" t="s">
        <v>29</v>
      </c>
      <c r="B21" s="14">
        <v>27972730</v>
      </c>
      <c r="C21" s="11">
        <v>8807418</v>
      </c>
      <c r="D21" s="11">
        <v>0</v>
      </c>
      <c r="E21" s="11">
        <v>0</v>
      </c>
      <c r="F21" s="14">
        <f>+E21/C21</f>
        <v>0</v>
      </c>
      <c r="G21" s="14">
        <f t="shared" si="0"/>
        <v>8807418</v>
      </c>
      <c r="H21" s="11">
        <v>8807418</v>
      </c>
      <c r="I21" s="14"/>
      <c r="J21" s="14">
        <v>0</v>
      </c>
      <c r="K21" s="14">
        <f>H21+I21-J21</f>
        <v>8807418</v>
      </c>
      <c r="L21" s="15">
        <f t="shared" si="3"/>
        <v>0</v>
      </c>
      <c r="M21" s="163"/>
      <c r="N21" s="62">
        <f t="shared" ref="N21:N29" si="5">+K21-G21</f>
        <v>0</v>
      </c>
      <c r="O21" s="152"/>
    </row>
    <row r="22" spans="1:19" x14ac:dyDescent="0.2">
      <c r="A22" s="139" t="s">
        <v>30</v>
      </c>
      <c r="B22" s="14">
        <v>21170980</v>
      </c>
      <c r="C22" s="11">
        <v>3844515.94</v>
      </c>
      <c r="D22" s="11">
        <v>0</v>
      </c>
      <c r="E22" s="14">
        <v>3049833.38</v>
      </c>
      <c r="F22" s="14">
        <f>+E22/C22</f>
        <v>0.79329450770855692</v>
      </c>
      <c r="G22" s="14">
        <f t="shared" si="0"/>
        <v>794682.56</v>
      </c>
      <c r="H22" s="11">
        <v>1828731.49</v>
      </c>
      <c r="I22" s="14">
        <f>13943.78+27370</f>
        <v>41313.78</v>
      </c>
      <c r="J22" s="14">
        <f>36027+1039335.71</f>
        <v>1075362.71</v>
      </c>
      <c r="K22" s="14">
        <f>H22+I22-J22</f>
        <v>794682.56</v>
      </c>
      <c r="L22" s="15">
        <f t="shared" si="3"/>
        <v>0.79329450770855692</v>
      </c>
      <c r="M22" s="163"/>
      <c r="N22" s="107">
        <f t="shared" si="5"/>
        <v>0</v>
      </c>
      <c r="O22" s="157"/>
      <c r="R22" s="141"/>
      <c r="S22" s="144"/>
    </row>
    <row r="23" spans="1:19" x14ac:dyDescent="0.2">
      <c r="A23" s="139" t="s">
        <v>58</v>
      </c>
      <c r="B23" s="14">
        <v>0</v>
      </c>
      <c r="C23" s="11">
        <v>0</v>
      </c>
      <c r="D23" s="11">
        <v>0</v>
      </c>
      <c r="E23" s="14">
        <v>0</v>
      </c>
      <c r="F23" s="14" t="e">
        <f>+E23/C23</f>
        <v>#DIV/0!</v>
      </c>
      <c r="G23" s="14">
        <f t="shared" si="0"/>
        <v>0</v>
      </c>
      <c r="H23" s="11">
        <v>0</v>
      </c>
      <c r="I23" s="14"/>
      <c r="J23" s="14"/>
      <c r="K23" s="14">
        <f>H23+I23-J23</f>
        <v>0</v>
      </c>
      <c r="L23" s="15" t="e">
        <f t="shared" si="3"/>
        <v>#DIV/0!</v>
      </c>
      <c r="M23" s="163"/>
      <c r="N23" s="107">
        <f t="shared" si="5"/>
        <v>0</v>
      </c>
      <c r="O23" s="157"/>
      <c r="R23" s="141"/>
      <c r="S23" s="144"/>
    </row>
    <row r="24" spans="1:19" x14ac:dyDescent="0.2">
      <c r="A24" s="139" t="s">
        <v>57</v>
      </c>
      <c r="B24" s="14">
        <v>0</v>
      </c>
      <c r="C24" s="11">
        <v>0</v>
      </c>
      <c r="D24" s="11">
        <v>0</v>
      </c>
      <c r="E24" s="14">
        <v>0</v>
      </c>
      <c r="F24" s="14" t="e">
        <f>+E24/C24</f>
        <v>#DIV/0!</v>
      </c>
      <c r="G24" s="14">
        <f t="shared" si="0"/>
        <v>0</v>
      </c>
      <c r="H24" s="11">
        <v>0</v>
      </c>
      <c r="I24" s="14"/>
      <c r="J24" s="14"/>
      <c r="K24" s="14">
        <f>H24+I24-J24</f>
        <v>0</v>
      </c>
      <c r="L24" s="15" t="e">
        <f t="shared" si="3"/>
        <v>#DIV/0!</v>
      </c>
      <c r="M24" s="163"/>
      <c r="N24" s="107">
        <f t="shared" si="5"/>
        <v>0</v>
      </c>
      <c r="O24" s="157"/>
      <c r="R24" s="141"/>
      <c r="S24" s="144"/>
    </row>
    <row r="25" spans="1:19" s="5" customFormat="1" x14ac:dyDescent="0.2">
      <c r="A25" s="20" t="s">
        <v>60</v>
      </c>
      <c r="B25" s="21">
        <f>SUM(B11:B24)</f>
        <v>105259250.63</v>
      </c>
      <c r="C25" s="21">
        <f>SUM(C11:C24)</f>
        <v>23532778.680000003</v>
      </c>
      <c r="D25" s="21">
        <f>SUM(D11:D24)</f>
        <v>0</v>
      </c>
      <c r="E25" s="21">
        <f>SUM(E11:E24)</f>
        <v>9926617.5899999999</v>
      </c>
      <c r="F25" s="21">
        <f>SUM(F11:F22)</f>
        <v>3.3217057368662153</v>
      </c>
      <c r="G25" s="21">
        <f>SUM(G11:G22)</f>
        <v>13606161.09</v>
      </c>
      <c r="H25" s="21">
        <f>SUM(H11:H24)</f>
        <v>14741060.35</v>
      </c>
      <c r="I25" s="21">
        <f>SUM(I11:I22)</f>
        <v>1210894.9400000002</v>
      </c>
      <c r="J25" s="21">
        <f>SUM(J11:J22)</f>
        <v>2345794.2000000002</v>
      </c>
      <c r="K25" s="21">
        <f>SUM(K11:K22)</f>
        <v>13606161.09</v>
      </c>
      <c r="L25" s="23"/>
      <c r="M25" s="164"/>
      <c r="N25" s="63">
        <f t="shared" si="5"/>
        <v>0</v>
      </c>
      <c r="O25" s="174"/>
      <c r="P25" s="143"/>
      <c r="Q25" s="143"/>
    </row>
    <row r="26" spans="1:19" s="17" customFormat="1" x14ac:dyDescent="0.25">
      <c r="A26" s="139" t="s">
        <v>18</v>
      </c>
      <c r="B26" s="10">
        <v>9668787.5</v>
      </c>
      <c r="C26" s="10">
        <f>+B26</f>
        <v>9668787.5</v>
      </c>
      <c r="D26" s="11">
        <v>0</v>
      </c>
      <c r="E26" s="10">
        <v>8808992.1099999994</v>
      </c>
      <c r="F26" s="12">
        <f>+E26/C26</f>
        <v>0.91107515911379777</v>
      </c>
      <c r="G26" s="10">
        <f t="shared" ref="G26:G40" si="6">+C26+D26-E26</f>
        <v>859795.3900000006</v>
      </c>
      <c r="H26" s="11">
        <f>384.17+701529.49</f>
        <v>701913.66</v>
      </c>
      <c r="I26" s="14">
        <f>201777.1+49054.32+10000+17400</f>
        <v>278231.42000000004</v>
      </c>
      <c r="J26" s="14">
        <f>42293+3275.91+3277.52+71503.26</f>
        <v>120349.69</v>
      </c>
      <c r="K26" s="14">
        <f>H26+I26-J26</f>
        <v>859795.39000000013</v>
      </c>
      <c r="L26" s="15">
        <f>+F26</f>
        <v>0.91107515911379777</v>
      </c>
      <c r="M26" s="163"/>
      <c r="N26" s="61">
        <f t="shared" si="5"/>
        <v>0</v>
      </c>
      <c r="O26" s="171">
        <f>+N26+N27</f>
        <v>0</v>
      </c>
      <c r="P26" s="153"/>
      <c r="Q26" s="142"/>
    </row>
    <row r="27" spans="1:19" x14ac:dyDescent="0.2">
      <c r="A27" s="139" t="s">
        <v>20</v>
      </c>
      <c r="B27" s="10">
        <v>27138333.23</v>
      </c>
      <c r="C27" s="10">
        <f t="shared" ref="C27:C37" si="7">+B27</f>
        <v>27138333.23</v>
      </c>
      <c r="D27" s="11">
        <v>0</v>
      </c>
      <c r="E27" s="10">
        <v>26415966.23</v>
      </c>
      <c r="F27" s="12">
        <f t="shared" ref="F27:F32" si="8">+E27/C27</f>
        <v>0.97338204251978666</v>
      </c>
      <c r="G27" s="10">
        <f t="shared" si="6"/>
        <v>722367</v>
      </c>
      <c r="H27" s="13">
        <v>2108137.33</v>
      </c>
      <c r="I27" s="14">
        <f>181846+1000</f>
        <v>182846</v>
      </c>
      <c r="J27" s="14">
        <f>1307677+16708.93+21550.06+222680.34</f>
        <v>1568616.33</v>
      </c>
      <c r="K27" s="14">
        <f t="shared" ref="K27:K35" si="9">H27+I27-J27</f>
        <v>722367</v>
      </c>
      <c r="L27" s="15">
        <f t="shared" ref="L27:L40" si="10">+F27</f>
        <v>0.97338204251978666</v>
      </c>
      <c r="M27" s="163"/>
      <c r="N27" s="61">
        <f t="shared" si="5"/>
        <v>0</v>
      </c>
      <c r="O27" s="172"/>
      <c r="P27" s="151"/>
    </row>
    <row r="28" spans="1:19" x14ac:dyDescent="0.2">
      <c r="A28" s="139" t="s">
        <v>21</v>
      </c>
      <c r="B28" s="10">
        <v>321506.03999999998</v>
      </c>
      <c r="C28" s="10">
        <f t="shared" si="7"/>
        <v>321506.03999999998</v>
      </c>
      <c r="D28" s="11">
        <v>0</v>
      </c>
      <c r="E28" s="11">
        <v>280892.37</v>
      </c>
      <c r="F28" s="12">
        <f t="shared" si="8"/>
        <v>0.87367680557416594</v>
      </c>
      <c r="G28" s="10">
        <f t="shared" si="6"/>
        <v>40613.669999999984</v>
      </c>
      <c r="H28" s="13">
        <v>40613.67</v>
      </c>
      <c r="I28" s="14">
        <v>0</v>
      </c>
      <c r="J28" s="14">
        <v>0</v>
      </c>
      <c r="K28" s="14">
        <f t="shared" si="9"/>
        <v>40613.67</v>
      </c>
      <c r="L28" s="15">
        <f t="shared" si="10"/>
        <v>0.87367680557416594</v>
      </c>
      <c r="M28" s="163"/>
      <c r="N28" s="61">
        <f t="shared" si="5"/>
        <v>0</v>
      </c>
    </row>
    <row r="29" spans="1:19" x14ac:dyDescent="0.2">
      <c r="A29" s="139" t="s">
        <v>22</v>
      </c>
      <c r="B29" s="10">
        <v>570803.89</v>
      </c>
      <c r="C29" s="10">
        <f t="shared" si="7"/>
        <v>570803.89</v>
      </c>
      <c r="D29" s="11">
        <v>0</v>
      </c>
      <c r="E29" s="11">
        <v>491970.23</v>
      </c>
      <c r="F29" s="12">
        <f t="shared" si="8"/>
        <v>0.86189011430878648</v>
      </c>
      <c r="G29" s="10">
        <f t="shared" si="6"/>
        <v>78833.660000000033</v>
      </c>
      <c r="H29" s="13">
        <v>78833.66</v>
      </c>
      <c r="I29" s="14">
        <v>0</v>
      </c>
      <c r="J29" s="14">
        <v>0</v>
      </c>
      <c r="K29" s="14">
        <f t="shared" si="9"/>
        <v>78833.66</v>
      </c>
      <c r="L29" s="15">
        <f t="shared" si="10"/>
        <v>0.86189011430878648</v>
      </c>
      <c r="M29" s="163"/>
      <c r="N29" s="61">
        <f t="shared" si="5"/>
        <v>0</v>
      </c>
    </row>
    <row r="30" spans="1:19" x14ac:dyDescent="0.2">
      <c r="A30" s="139" t="s">
        <v>23</v>
      </c>
      <c r="B30" s="10">
        <v>1307693.44</v>
      </c>
      <c r="C30" s="10">
        <f t="shared" si="7"/>
        <v>1307693.44</v>
      </c>
      <c r="D30" s="11">
        <v>0</v>
      </c>
      <c r="E30" s="11">
        <v>1273287.1499999999</v>
      </c>
      <c r="F30" s="12">
        <f t="shared" si="8"/>
        <v>0.9736893304290033</v>
      </c>
      <c r="G30" s="10">
        <f t="shared" si="6"/>
        <v>34406.290000000037</v>
      </c>
      <c r="H30" s="13">
        <v>34406.29</v>
      </c>
      <c r="I30" s="14">
        <v>0</v>
      </c>
      <c r="J30" s="14">
        <v>0</v>
      </c>
      <c r="K30" s="14">
        <f t="shared" si="9"/>
        <v>34406.29</v>
      </c>
      <c r="L30" s="15">
        <f t="shared" si="10"/>
        <v>0.9736893304290033</v>
      </c>
      <c r="M30" s="163"/>
      <c r="N30" s="61">
        <f t="shared" ref="N30:N35" si="11">+K30-G30</f>
        <v>0</v>
      </c>
    </row>
    <row r="31" spans="1:19" x14ac:dyDescent="0.2">
      <c r="A31" s="139" t="s">
        <v>24</v>
      </c>
      <c r="B31" s="10">
        <v>14234360.859999999</v>
      </c>
      <c r="C31" s="10">
        <f t="shared" si="7"/>
        <v>14234360.859999999</v>
      </c>
      <c r="D31" s="11">
        <v>0</v>
      </c>
      <c r="E31" s="10">
        <v>14197791.76</v>
      </c>
      <c r="F31" s="12">
        <f t="shared" si="8"/>
        <v>0.99743092785410814</v>
      </c>
      <c r="G31" s="10">
        <f t="shared" si="6"/>
        <v>36569.099999999627</v>
      </c>
      <c r="H31" s="13">
        <v>500343.1</v>
      </c>
      <c r="I31" s="14">
        <f>15553</f>
        <v>15553</v>
      </c>
      <c r="J31" s="14">
        <f>280823+198504</f>
        <v>479327</v>
      </c>
      <c r="K31" s="14">
        <f t="shared" si="9"/>
        <v>36569.099999999977</v>
      </c>
      <c r="L31" s="15">
        <f t="shared" si="10"/>
        <v>0.99743092785410814</v>
      </c>
      <c r="M31" s="163"/>
      <c r="N31" s="61">
        <f t="shared" si="11"/>
        <v>3.4924596548080444E-10</v>
      </c>
      <c r="P31" s="151">
        <f>+N26-N37</f>
        <v>4.6566128730773926E-10</v>
      </c>
    </row>
    <row r="32" spans="1:19" x14ac:dyDescent="0.2">
      <c r="A32" s="139" t="s">
        <v>25</v>
      </c>
      <c r="B32" s="10">
        <v>658261.61</v>
      </c>
      <c r="C32" s="10">
        <f t="shared" si="7"/>
        <v>658261.61</v>
      </c>
      <c r="D32" s="11">
        <v>0</v>
      </c>
      <c r="E32" s="10">
        <v>367499.68</v>
      </c>
      <c r="F32" s="12">
        <f t="shared" si="8"/>
        <v>0.55828818575641981</v>
      </c>
      <c r="G32" s="10">
        <f t="shared" si="6"/>
        <v>290761.93</v>
      </c>
      <c r="H32" s="13">
        <v>290761.93</v>
      </c>
      <c r="I32" s="14">
        <v>0</v>
      </c>
      <c r="J32" s="14">
        <v>0</v>
      </c>
      <c r="K32" s="14">
        <f t="shared" si="9"/>
        <v>290761.93</v>
      </c>
      <c r="L32" s="15">
        <f t="shared" si="10"/>
        <v>0.55828818575641981</v>
      </c>
      <c r="M32" s="163"/>
      <c r="N32" s="61">
        <f t="shared" si="11"/>
        <v>0</v>
      </c>
    </row>
    <row r="33" spans="1:19" x14ac:dyDescent="0.2">
      <c r="A33" s="139" t="s">
        <v>53</v>
      </c>
      <c r="B33" s="10">
        <v>158979.12</v>
      </c>
      <c r="C33" s="10">
        <f t="shared" si="7"/>
        <v>158979.12</v>
      </c>
      <c r="D33" s="11">
        <v>0</v>
      </c>
      <c r="E33" s="11">
        <v>0</v>
      </c>
      <c r="F33" s="12">
        <v>0</v>
      </c>
      <c r="G33" s="14">
        <f t="shared" si="6"/>
        <v>158979.12</v>
      </c>
      <c r="H33" s="11">
        <v>168979.12</v>
      </c>
      <c r="I33" s="14">
        <v>0</v>
      </c>
      <c r="J33" s="14">
        <v>10000</v>
      </c>
      <c r="K33" s="14">
        <f t="shared" si="9"/>
        <v>158979.12</v>
      </c>
      <c r="L33" s="15">
        <f t="shared" si="10"/>
        <v>0</v>
      </c>
      <c r="M33" s="163"/>
      <c r="N33" s="61">
        <f t="shared" si="11"/>
        <v>0</v>
      </c>
    </row>
    <row r="34" spans="1:19" x14ac:dyDescent="0.2">
      <c r="A34" s="139" t="s">
        <v>27</v>
      </c>
      <c r="B34" s="10"/>
      <c r="C34" s="10">
        <f t="shared" si="7"/>
        <v>0</v>
      </c>
      <c r="D34" s="11">
        <v>0</v>
      </c>
      <c r="E34" s="11">
        <v>0</v>
      </c>
      <c r="F34" s="12">
        <v>0</v>
      </c>
      <c r="G34" s="14">
        <f t="shared" si="6"/>
        <v>0</v>
      </c>
      <c r="H34" s="11">
        <v>0</v>
      </c>
      <c r="I34" s="14">
        <v>0</v>
      </c>
      <c r="J34" s="14">
        <v>0</v>
      </c>
      <c r="K34" s="14">
        <f t="shared" si="9"/>
        <v>0</v>
      </c>
      <c r="L34" s="15">
        <f t="shared" si="10"/>
        <v>0</v>
      </c>
      <c r="M34" s="163"/>
      <c r="N34" s="61">
        <f t="shared" si="11"/>
        <v>0</v>
      </c>
    </row>
    <row r="35" spans="1:19" x14ac:dyDescent="0.2">
      <c r="A35" s="139" t="s">
        <v>28</v>
      </c>
      <c r="B35" s="10">
        <v>47798.07</v>
      </c>
      <c r="C35" s="10">
        <f t="shared" si="7"/>
        <v>47798.07</v>
      </c>
      <c r="D35" s="11">
        <v>0</v>
      </c>
      <c r="E35" s="11">
        <v>23516.14</v>
      </c>
      <c r="F35" s="12">
        <v>0</v>
      </c>
      <c r="G35" s="14">
        <f t="shared" si="6"/>
        <v>24281.93</v>
      </c>
      <c r="H35" s="11">
        <v>24281.93</v>
      </c>
      <c r="I35" s="14">
        <v>0</v>
      </c>
      <c r="J35" s="14">
        <v>0</v>
      </c>
      <c r="K35" s="14">
        <f t="shared" si="9"/>
        <v>24281.93</v>
      </c>
      <c r="L35" s="15">
        <f t="shared" si="10"/>
        <v>0</v>
      </c>
      <c r="M35" s="163"/>
      <c r="N35" s="61">
        <f t="shared" si="11"/>
        <v>0</v>
      </c>
      <c r="O35" s="172"/>
    </row>
    <row r="36" spans="1:19" x14ac:dyDescent="0.2">
      <c r="A36" s="139" t="s">
        <v>29</v>
      </c>
      <c r="B36" s="10">
        <v>27972730</v>
      </c>
      <c r="C36" s="10">
        <f t="shared" si="7"/>
        <v>27972730</v>
      </c>
      <c r="D36" s="11">
        <v>186451.15</v>
      </c>
      <c r="E36" s="11">
        <v>27809818.059999999</v>
      </c>
      <c r="F36" s="12">
        <f>+E36/C36</f>
        <v>0.99417604431172779</v>
      </c>
      <c r="G36" s="10">
        <f t="shared" si="6"/>
        <v>349363.08999999985</v>
      </c>
      <c r="H36" s="13">
        <v>722517.26</v>
      </c>
      <c r="I36" s="14">
        <v>163200.16</v>
      </c>
      <c r="J36" s="14">
        <f>323339.08+164255.75+48759.5</f>
        <v>536354.33000000007</v>
      </c>
      <c r="K36" s="14">
        <f>H36+I36-J36</f>
        <v>349363.08999999997</v>
      </c>
      <c r="L36" s="15">
        <f t="shared" si="10"/>
        <v>0.99417604431172779</v>
      </c>
      <c r="M36" s="163"/>
      <c r="N36" s="61">
        <f t="shared" ref="N36:N41" si="12">+K36-G36</f>
        <v>0</v>
      </c>
      <c r="O36" s="172"/>
    </row>
    <row r="37" spans="1:19" x14ac:dyDescent="0.2">
      <c r="A37" s="139" t="s">
        <v>30</v>
      </c>
      <c r="B37" s="10">
        <v>21170988.52</v>
      </c>
      <c r="C37" s="10">
        <f t="shared" si="7"/>
        <v>21170988.52</v>
      </c>
      <c r="D37" s="11">
        <v>0</v>
      </c>
      <c r="E37" s="10">
        <v>21163370.789999999</v>
      </c>
      <c r="F37" s="12">
        <f>+E37/C37</f>
        <v>0.9996401807127332</v>
      </c>
      <c r="G37" s="10">
        <f t="shared" si="6"/>
        <v>7617.730000000447</v>
      </c>
      <c r="H37" s="13">
        <v>139200.95999999999</v>
      </c>
      <c r="I37" s="14">
        <f>63664.06+25043.71</f>
        <v>88707.76999999999</v>
      </c>
      <c r="J37" s="14">
        <f>170257+6000+44034</f>
        <v>220291</v>
      </c>
      <c r="K37" s="14">
        <f>H37+I37-J37</f>
        <v>7617.7299999999814</v>
      </c>
      <c r="L37" s="15">
        <f t="shared" si="10"/>
        <v>0.9996401807127332</v>
      </c>
      <c r="M37" s="163"/>
      <c r="N37" s="167">
        <f t="shared" si="12"/>
        <v>-4.6566128730773926E-10</v>
      </c>
      <c r="O37" s="173"/>
      <c r="R37" s="141"/>
      <c r="S37" s="144"/>
    </row>
    <row r="38" spans="1:19" ht="27" x14ac:dyDescent="0.2">
      <c r="A38" s="139" t="s">
        <v>56</v>
      </c>
      <c r="B38" s="10">
        <v>1500000</v>
      </c>
      <c r="C38" s="10">
        <v>1500000</v>
      </c>
      <c r="D38" s="11">
        <v>0</v>
      </c>
      <c r="E38" s="10">
        <v>1499955.2</v>
      </c>
      <c r="F38" s="12">
        <f>+E38/C38</f>
        <v>0.99997013333333329</v>
      </c>
      <c r="G38" s="10">
        <f t="shared" si="6"/>
        <v>44.800000000046566</v>
      </c>
      <c r="H38" s="13">
        <v>5044.8</v>
      </c>
      <c r="I38" s="14">
        <v>0</v>
      </c>
      <c r="J38" s="14">
        <v>5000</v>
      </c>
      <c r="K38" s="14">
        <f>H38+I38-J38</f>
        <v>44.800000000000182</v>
      </c>
      <c r="L38" s="15">
        <f t="shared" si="10"/>
        <v>0.99997013333333329</v>
      </c>
      <c r="M38" s="163"/>
      <c r="N38" s="167">
        <f t="shared" si="12"/>
        <v>-4.638422979041934E-11</v>
      </c>
      <c r="O38" s="173"/>
      <c r="R38" s="141"/>
      <c r="S38" s="144"/>
    </row>
    <row r="39" spans="1:19" x14ac:dyDescent="0.2">
      <c r="A39" s="139" t="s">
        <v>58</v>
      </c>
      <c r="B39" s="10">
        <v>8800000</v>
      </c>
      <c r="C39" s="10">
        <f>+B39</f>
        <v>8800000</v>
      </c>
      <c r="D39" s="11">
        <v>0</v>
      </c>
      <c r="E39" s="10">
        <v>8793327.9700000007</v>
      </c>
      <c r="F39" s="12">
        <f>+E39/C39</f>
        <v>0.99924181477272733</v>
      </c>
      <c r="G39" s="10">
        <f t="shared" si="6"/>
        <v>6672.0299999993294</v>
      </c>
      <c r="H39" s="13">
        <v>136749.53</v>
      </c>
      <c r="I39" s="14">
        <v>0</v>
      </c>
      <c r="J39" s="14">
        <f>75804.55+37902.27+11370.68+5000</f>
        <v>130077.5</v>
      </c>
      <c r="K39" s="14">
        <f>H39+I39-J39</f>
        <v>6672.0299999999988</v>
      </c>
      <c r="L39" s="15">
        <f t="shared" si="10"/>
        <v>0.99924181477272733</v>
      </c>
      <c r="M39" s="163"/>
      <c r="N39" s="167">
        <f t="shared" si="12"/>
        <v>6.6938810050487518E-10</v>
      </c>
      <c r="O39" s="173"/>
      <c r="R39" s="141"/>
      <c r="S39" s="144"/>
    </row>
    <row r="40" spans="1:19" x14ac:dyDescent="0.2">
      <c r="A40" s="139" t="s">
        <v>57</v>
      </c>
      <c r="B40" s="10">
        <v>3362600</v>
      </c>
      <c r="C40" s="10">
        <f>+B40</f>
        <v>3362600</v>
      </c>
      <c r="D40" s="11">
        <v>0</v>
      </c>
      <c r="E40" s="10">
        <f>1976789.36+1384600</f>
        <v>3361389.3600000003</v>
      </c>
      <c r="F40" s="12">
        <f>+E40/C40</f>
        <v>0.99963996907155184</v>
      </c>
      <c r="G40" s="10">
        <f t="shared" si="6"/>
        <v>1210.6399999996647</v>
      </c>
      <c r="H40" s="13">
        <v>54023.49</v>
      </c>
      <c r="I40" s="14">
        <v>0</v>
      </c>
      <c r="J40" s="14">
        <f>28977.48+14488.74+4346.63+5000</f>
        <v>52812.85</v>
      </c>
      <c r="K40" s="14">
        <f>H40+I40-J40</f>
        <v>1210.6399999999994</v>
      </c>
      <c r="L40" s="15">
        <f t="shared" si="10"/>
        <v>0.99963996907155184</v>
      </c>
      <c r="M40" s="163"/>
      <c r="N40" s="167">
        <f t="shared" si="12"/>
        <v>3.3469405025243759E-10</v>
      </c>
      <c r="O40" s="173"/>
      <c r="R40" s="141"/>
      <c r="S40" s="144"/>
    </row>
    <row r="41" spans="1:19" s="5" customFormat="1" x14ac:dyDescent="0.2">
      <c r="A41" s="20" t="s">
        <v>51</v>
      </c>
      <c r="B41" s="21">
        <f>SUM(B26:B37)</f>
        <v>103250242.27999999</v>
      </c>
      <c r="C41" s="21">
        <f>SUM(C26:C37)</f>
        <v>103250242.27999999</v>
      </c>
      <c r="D41" s="21">
        <f>SUM(D26:D37)</f>
        <v>186451.15</v>
      </c>
      <c r="E41" s="21">
        <f>SUM(E26:E37)</f>
        <v>100833104.51999998</v>
      </c>
      <c r="F41" s="21">
        <f t="shared" ref="F41:K41" si="13">SUM(F26:F37)</f>
        <v>8.1432487905805289</v>
      </c>
      <c r="G41" s="21">
        <f t="shared" si="13"/>
        <v>2603588.9100000006</v>
      </c>
      <c r="H41" s="21">
        <f t="shared" si="13"/>
        <v>4809988.9100000011</v>
      </c>
      <c r="I41" s="21">
        <f t="shared" si="13"/>
        <v>728538.35000000009</v>
      </c>
      <c r="J41" s="21">
        <f t="shared" si="13"/>
        <v>2934938.35</v>
      </c>
      <c r="K41" s="21">
        <f t="shared" si="13"/>
        <v>2603588.9099999997</v>
      </c>
      <c r="L41" s="23"/>
      <c r="M41" s="164"/>
      <c r="N41" s="61">
        <f t="shared" si="12"/>
        <v>0</v>
      </c>
      <c r="O41" s="174"/>
      <c r="P41" s="143"/>
      <c r="Q41" s="143"/>
    </row>
    <row r="42" spans="1:19" s="17" customFormat="1" x14ac:dyDescent="0.25">
      <c r="A42" s="139" t="s">
        <v>18</v>
      </c>
      <c r="B42" s="10">
        <f>+C42</f>
        <v>974278.6400000006</v>
      </c>
      <c r="C42" s="10">
        <f>9497181.34-8522902.7</f>
        <v>974278.6400000006</v>
      </c>
      <c r="D42" s="11">
        <v>0</v>
      </c>
      <c r="E42" s="10">
        <v>416991</v>
      </c>
      <c r="F42" s="12">
        <f>+E42/C42</f>
        <v>0.42799973527080482</v>
      </c>
      <c r="G42" s="10">
        <f>+C42+D42-E42</f>
        <v>557287.6400000006</v>
      </c>
      <c r="H42" s="13">
        <f>364262.95-0.47</f>
        <v>364262.48000000004</v>
      </c>
      <c r="I42" s="14">
        <f>22013.2+172259.48</f>
        <v>194272.68000000002</v>
      </c>
      <c r="J42" s="14">
        <f>-4302.52+5550.04</f>
        <v>1247.5199999999995</v>
      </c>
      <c r="K42" s="14">
        <f>H42+I42-J42</f>
        <v>557287.64</v>
      </c>
      <c r="L42" s="15">
        <f>+F42</f>
        <v>0.42799973527080482</v>
      </c>
      <c r="M42" s="163"/>
      <c r="N42" s="168">
        <f t="shared" ref="N42:N51" si="14">+K42-G42</f>
        <v>0</v>
      </c>
      <c r="O42" s="170"/>
      <c r="P42" s="142"/>
      <c r="Q42" s="142"/>
    </row>
    <row r="43" spans="1:19" x14ac:dyDescent="0.2">
      <c r="A43" s="139" t="s">
        <v>20</v>
      </c>
      <c r="B43" s="10">
        <f t="shared" ref="B43:B52" si="15">+C43</f>
        <v>981063.53999999911</v>
      </c>
      <c r="C43" s="10">
        <f>28461059.77-27479996.23</f>
        <v>981063.53999999911</v>
      </c>
      <c r="D43" s="11">
        <v>0</v>
      </c>
      <c r="E43" s="10">
        <v>174602.54</v>
      </c>
      <c r="F43" s="12">
        <f t="shared" ref="F43:F52" si="16">+E43/C43</f>
        <v>0.17797271316392022</v>
      </c>
      <c r="G43" s="10">
        <f>+C43+D43-E43</f>
        <v>806460.99999999907</v>
      </c>
      <c r="H43" s="13">
        <v>1795340.56</v>
      </c>
      <c r="I43" s="14">
        <v>1162</v>
      </c>
      <c r="J43" s="14">
        <f>272555.03+160187.53+557299</f>
        <v>990041.56</v>
      </c>
      <c r="K43" s="14">
        <f t="shared" ref="K43:K77" si="17">H43+I43-J43</f>
        <v>806461</v>
      </c>
      <c r="L43" s="15">
        <f t="shared" ref="L43:L52" si="18">+F43</f>
        <v>0.17797271316392022</v>
      </c>
      <c r="M43" s="163"/>
      <c r="N43" s="61">
        <f t="shared" si="14"/>
        <v>9.3132257461547852E-10</v>
      </c>
      <c r="O43" s="172"/>
    </row>
    <row r="44" spans="1:19" x14ac:dyDescent="0.2">
      <c r="A44" s="139" t="s">
        <v>21</v>
      </c>
      <c r="B44" s="10">
        <f t="shared" si="15"/>
        <v>185683.99</v>
      </c>
      <c r="C44" s="10">
        <f>266576.99-80893</f>
        <v>185683.99</v>
      </c>
      <c r="D44" s="11">
        <v>0</v>
      </c>
      <c r="E44" s="10">
        <v>185218.16</v>
      </c>
      <c r="F44" s="12">
        <f t="shared" si="16"/>
        <v>0.99749127536520521</v>
      </c>
      <c r="G44" s="10">
        <f>+C44+D44-E44</f>
        <v>465.82999999998719</v>
      </c>
      <c r="H44" s="13">
        <v>465.83</v>
      </c>
      <c r="I44" s="14">
        <v>0</v>
      </c>
      <c r="J44" s="14">
        <v>0</v>
      </c>
      <c r="K44" s="14">
        <f t="shared" si="17"/>
        <v>465.83</v>
      </c>
      <c r="L44" s="15">
        <f t="shared" si="18"/>
        <v>0.99749127536520521</v>
      </c>
      <c r="M44" s="163"/>
      <c r="N44" s="168">
        <f t="shared" si="14"/>
        <v>1.2789769243681803E-11</v>
      </c>
    </row>
    <row r="45" spans="1:19" x14ac:dyDescent="0.2">
      <c r="A45" s="139" t="s">
        <v>22</v>
      </c>
      <c r="B45" s="10">
        <f t="shared" si="15"/>
        <v>173435.65999999997</v>
      </c>
      <c r="C45" s="10">
        <f>375412.66-201977</f>
        <v>173435.65999999997</v>
      </c>
      <c r="D45" s="10">
        <v>149.51</v>
      </c>
      <c r="E45" s="10">
        <v>167368.20000000001</v>
      </c>
      <c r="F45" s="12">
        <f t="shared" si="16"/>
        <v>0.96501607570207903</v>
      </c>
      <c r="G45" s="10">
        <f t="shared" ref="G45:G50" si="19">+C45+D45-E45</f>
        <v>6216.9699999999721</v>
      </c>
      <c r="H45" s="13">
        <v>6216.97</v>
      </c>
      <c r="I45" s="14">
        <v>0</v>
      </c>
      <c r="J45" s="14">
        <v>0</v>
      </c>
      <c r="K45" s="14">
        <f t="shared" si="17"/>
        <v>6216.97</v>
      </c>
      <c r="L45" s="15">
        <f t="shared" si="18"/>
        <v>0.96501607570207903</v>
      </c>
      <c r="M45" s="163"/>
      <c r="N45" s="61">
        <f t="shared" si="14"/>
        <v>2.8194335754960775E-11</v>
      </c>
    </row>
    <row r="46" spans="1:19" x14ac:dyDescent="0.2">
      <c r="A46" s="139" t="s">
        <v>23</v>
      </c>
      <c r="B46" s="10">
        <f t="shared" si="15"/>
        <v>514053.77999999991</v>
      </c>
      <c r="C46" s="10">
        <f>1302246.39-788192.61</f>
        <v>514053.77999999991</v>
      </c>
      <c r="D46" s="10">
        <v>408.58</v>
      </c>
      <c r="E46" s="10">
        <v>497037.73</v>
      </c>
      <c r="F46" s="12">
        <f t="shared" si="16"/>
        <v>0.96689830779962371</v>
      </c>
      <c r="G46" s="10">
        <f t="shared" si="19"/>
        <v>17424.629999999946</v>
      </c>
      <c r="H46" s="13">
        <v>17424.63</v>
      </c>
      <c r="I46" s="14">
        <v>0</v>
      </c>
      <c r="J46" s="14">
        <v>0</v>
      </c>
      <c r="K46" s="14">
        <f t="shared" si="17"/>
        <v>17424.63</v>
      </c>
      <c r="L46" s="15">
        <f t="shared" si="18"/>
        <v>0.96689830779962371</v>
      </c>
      <c r="M46" s="163"/>
      <c r="N46" s="168">
        <f t="shared" si="14"/>
        <v>5.4569682106375694E-11</v>
      </c>
    </row>
    <row r="47" spans="1:19" x14ac:dyDescent="0.2">
      <c r="A47" s="139" t="s">
        <v>24</v>
      </c>
      <c r="B47" s="10">
        <f t="shared" si="15"/>
        <v>423848.1799999997</v>
      </c>
      <c r="C47" s="10">
        <f>13636634.35-13212786.17</f>
        <v>423848.1799999997</v>
      </c>
      <c r="D47" s="11">
        <v>-459</v>
      </c>
      <c r="E47" s="10">
        <v>11601.63</v>
      </c>
      <c r="F47" s="12">
        <f t="shared" si="16"/>
        <v>2.7372135937920053E-2</v>
      </c>
      <c r="G47" s="10">
        <f>+C47+D47-E47</f>
        <v>411787.5499999997</v>
      </c>
      <c r="H47" s="13">
        <v>37530.339999999997</v>
      </c>
      <c r="I47" s="14">
        <v>456237</v>
      </c>
      <c r="J47" s="14">
        <f>52394.42+7312.79+22272.58</f>
        <v>81979.790000000008</v>
      </c>
      <c r="K47" s="14">
        <f t="shared" si="17"/>
        <v>411787.54999999993</v>
      </c>
      <c r="L47" s="15">
        <f t="shared" si="18"/>
        <v>2.7372135937920053E-2</v>
      </c>
      <c r="M47" s="163"/>
      <c r="N47" s="61">
        <f t="shared" si="14"/>
        <v>0</v>
      </c>
    </row>
    <row r="48" spans="1:19" x14ac:dyDescent="0.2">
      <c r="A48" s="139" t="s">
        <v>25</v>
      </c>
      <c r="B48" s="10">
        <f t="shared" si="15"/>
        <v>326040.06000000006</v>
      </c>
      <c r="C48" s="10">
        <f>868753.03-542712.97</f>
        <v>326040.06000000006</v>
      </c>
      <c r="D48" s="10">
        <v>131.31</v>
      </c>
      <c r="E48" s="10">
        <v>320888.67</v>
      </c>
      <c r="F48" s="12">
        <f t="shared" si="16"/>
        <v>0.98420013172614407</v>
      </c>
      <c r="G48" s="10">
        <f t="shared" si="19"/>
        <v>5282.7000000000698</v>
      </c>
      <c r="H48" s="13">
        <v>5282.7</v>
      </c>
      <c r="I48" s="14">
        <v>0</v>
      </c>
      <c r="J48" s="14">
        <v>0</v>
      </c>
      <c r="K48" s="14">
        <f t="shared" si="17"/>
        <v>5282.7</v>
      </c>
      <c r="L48" s="15">
        <f t="shared" si="18"/>
        <v>0.98420013172614407</v>
      </c>
      <c r="M48" s="163"/>
      <c r="N48" s="168">
        <f t="shared" si="14"/>
        <v>-7.0031092036515474E-11</v>
      </c>
    </row>
    <row r="49" spans="1:17" x14ac:dyDescent="0.2">
      <c r="A49" s="139" t="s">
        <v>27</v>
      </c>
      <c r="B49" s="10">
        <f t="shared" si="15"/>
        <v>3767.3699999999953</v>
      </c>
      <c r="C49" s="10">
        <f>573447.69-569680.32</f>
        <v>3767.3699999999953</v>
      </c>
      <c r="D49" s="11">
        <v>0</v>
      </c>
      <c r="E49" s="10">
        <v>0</v>
      </c>
      <c r="F49" s="12">
        <f t="shared" si="16"/>
        <v>0</v>
      </c>
      <c r="G49" s="10">
        <f t="shared" si="19"/>
        <v>3767.3699999999953</v>
      </c>
      <c r="H49" s="13">
        <v>3767.37</v>
      </c>
      <c r="I49" s="14">
        <v>0</v>
      </c>
      <c r="J49" s="14">
        <v>0</v>
      </c>
      <c r="K49" s="14">
        <f t="shared" si="17"/>
        <v>3767.37</v>
      </c>
      <c r="L49" s="15">
        <f t="shared" si="18"/>
        <v>0</v>
      </c>
      <c r="M49" s="163"/>
      <c r="N49" s="61">
        <f t="shared" si="14"/>
        <v>4.5474735088646412E-12</v>
      </c>
    </row>
    <row r="50" spans="1:17" x14ac:dyDescent="0.2">
      <c r="A50" s="139" t="s">
        <v>28</v>
      </c>
      <c r="B50" s="10">
        <f t="shared" si="15"/>
        <v>36484.65</v>
      </c>
      <c r="C50" s="10">
        <f>36484.65-0</f>
        <v>36484.65</v>
      </c>
      <c r="D50" s="11">
        <v>0</v>
      </c>
      <c r="E50" s="10">
        <v>35942.33</v>
      </c>
      <c r="F50" s="12">
        <f t="shared" si="16"/>
        <v>0.98513566664336916</v>
      </c>
      <c r="G50" s="10">
        <f t="shared" si="19"/>
        <v>542.31999999999971</v>
      </c>
      <c r="H50" s="13">
        <v>542.32000000000005</v>
      </c>
      <c r="I50" s="14">
        <v>0</v>
      </c>
      <c r="J50" s="14">
        <v>0</v>
      </c>
      <c r="K50" s="14">
        <f t="shared" si="17"/>
        <v>542.32000000000005</v>
      </c>
      <c r="L50" s="15">
        <f t="shared" si="18"/>
        <v>0.98513566664336916</v>
      </c>
      <c r="M50" s="163"/>
      <c r="N50" s="168">
        <f t="shared" si="14"/>
        <v>0</v>
      </c>
    </row>
    <row r="51" spans="1:17" x14ac:dyDescent="0.2">
      <c r="A51" s="139" t="s">
        <v>29</v>
      </c>
      <c r="B51" s="10">
        <f>+C51</f>
        <v>4269132.7199999988</v>
      </c>
      <c r="C51" s="10">
        <f>25804148.7-21535015.98</f>
        <v>4269132.7199999988</v>
      </c>
      <c r="D51" s="45"/>
      <c r="E51" s="10">
        <v>3779555.7</v>
      </c>
      <c r="F51" s="12">
        <f t="shared" si="16"/>
        <v>0.88532166786325661</v>
      </c>
      <c r="G51" s="10">
        <f>+C51+D51-E51</f>
        <v>489577.01999999862</v>
      </c>
      <c r="H51" s="13">
        <f>2255525.44-1688966.46</f>
        <v>566558.98</v>
      </c>
      <c r="I51" s="14">
        <v>122706.07</v>
      </c>
      <c r="J51" s="14">
        <f>20016.25+99956.62+61086.68+18628.48</f>
        <v>199688.03</v>
      </c>
      <c r="K51" s="14">
        <f>H51+I51-J51</f>
        <v>489577.02</v>
      </c>
      <c r="L51" s="15">
        <f t="shared" si="18"/>
        <v>0.88532166786325661</v>
      </c>
      <c r="M51" s="163"/>
      <c r="N51" s="61">
        <f t="shared" si="14"/>
        <v>1.3969838619232178E-9</v>
      </c>
      <c r="O51" s="172"/>
    </row>
    <row r="52" spans="1:17" x14ac:dyDescent="0.2">
      <c r="A52" s="139" t="s">
        <v>30</v>
      </c>
      <c r="B52" s="10">
        <f t="shared" si="15"/>
        <v>193749.02000000025</v>
      </c>
      <c r="C52" s="10">
        <f>19272341-17976826.68-1101765.3</f>
        <v>193749.02000000025</v>
      </c>
      <c r="D52" s="10">
        <v>-484.77</v>
      </c>
      <c r="E52" s="10">
        <v>0</v>
      </c>
      <c r="F52" s="12">
        <f t="shared" si="16"/>
        <v>0</v>
      </c>
      <c r="G52" s="10">
        <f>+C52+D52-E52</f>
        <v>193264.25000000026</v>
      </c>
      <c r="H52" s="13">
        <v>167473.73000000001</v>
      </c>
      <c r="I52" s="14">
        <v>296402</v>
      </c>
      <c r="J52" s="14">
        <f>26299+244312.48</f>
        <v>270611.48</v>
      </c>
      <c r="K52" s="14">
        <f>H52+I52-J52</f>
        <v>193264.25</v>
      </c>
      <c r="L52" s="15">
        <f t="shared" si="18"/>
        <v>0</v>
      </c>
      <c r="M52" s="163"/>
      <c r="N52" s="168">
        <f>+K52-G52</f>
        <v>-2.6193447411060333E-10</v>
      </c>
      <c r="O52" s="173"/>
    </row>
    <row r="53" spans="1:17" s="5" customFormat="1" x14ac:dyDescent="0.2">
      <c r="A53" s="20" t="s">
        <v>33</v>
      </c>
      <c r="B53" s="21">
        <f>SUM(B42:B52)</f>
        <v>8081537.6099999985</v>
      </c>
      <c r="C53" s="21">
        <f>SUM(C42:C52)</f>
        <v>8081537.6099999985</v>
      </c>
      <c r="D53" s="21">
        <f>SUM(D42:D52)</f>
        <v>-254.37000000000006</v>
      </c>
      <c r="E53" s="21">
        <f>SUM(E42:E52)</f>
        <v>5589205.96</v>
      </c>
      <c r="F53" s="22">
        <f>+E53/C53</f>
        <v>0.69160180026681839</v>
      </c>
      <c r="G53" s="21">
        <f>SUM(G42:G52)</f>
        <v>2492077.2799999989</v>
      </c>
      <c r="H53" s="21">
        <f>SUM(H42:H52)</f>
        <v>2964865.91</v>
      </c>
      <c r="I53" s="21">
        <f>SUM(I42:I52)</f>
        <v>1070779.75</v>
      </c>
      <c r="J53" s="21">
        <f>SUM(J42:J52)</f>
        <v>1543568.3800000001</v>
      </c>
      <c r="K53" s="21">
        <f>SUM(K42:K52)</f>
        <v>2492077.2800000003</v>
      </c>
      <c r="L53" s="23"/>
      <c r="M53" s="164"/>
      <c r="N53" s="61">
        <f t="shared" ref="N53:N78" si="20">+K53-G53</f>
        <v>0</v>
      </c>
      <c r="O53" s="174"/>
      <c r="P53" s="143"/>
      <c r="Q53" s="143"/>
    </row>
    <row r="54" spans="1:17" x14ac:dyDescent="0.2">
      <c r="A54" s="139" t="s">
        <v>18</v>
      </c>
      <c r="B54" s="10">
        <v>0</v>
      </c>
      <c r="C54" s="10">
        <v>0</v>
      </c>
      <c r="D54" s="13"/>
      <c r="E54" s="10">
        <v>0</v>
      </c>
      <c r="F54" s="12">
        <v>0</v>
      </c>
      <c r="G54" s="10">
        <v>10714.68</v>
      </c>
      <c r="H54" s="10">
        <v>10714.68</v>
      </c>
      <c r="I54" s="10">
        <v>0</v>
      </c>
      <c r="J54" s="10">
        <v>0</v>
      </c>
      <c r="K54" s="10">
        <f t="shared" si="17"/>
        <v>10714.68</v>
      </c>
      <c r="L54" s="15"/>
      <c r="M54" s="163"/>
      <c r="N54" s="61">
        <f t="shared" si="20"/>
        <v>0</v>
      </c>
    </row>
    <row r="55" spans="1:17" x14ac:dyDescent="0.2">
      <c r="A55" s="139" t="s">
        <v>20</v>
      </c>
      <c r="B55" s="10">
        <v>0</v>
      </c>
      <c r="C55" s="10">
        <v>0</v>
      </c>
      <c r="D55" s="13"/>
      <c r="E55" s="10">
        <v>0</v>
      </c>
      <c r="F55" s="12">
        <v>0</v>
      </c>
      <c r="G55" s="10">
        <v>4740.07</v>
      </c>
      <c r="H55" s="10">
        <v>4740.07</v>
      </c>
      <c r="I55" s="10">
        <v>0</v>
      </c>
      <c r="J55" s="10">
        <v>0</v>
      </c>
      <c r="K55" s="10">
        <f t="shared" si="17"/>
        <v>4740.07</v>
      </c>
      <c r="L55" s="15"/>
      <c r="M55" s="163"/>
      <c r="N55" s="61">
        <f t="shared" si="20"/>
        <v>0</v>
      </c>
    </row>
    <row r="56" spans="1:17" x14ac:dyDescent="0.2">
      <c r="A56" s="139" t="s">
        <v>25</v>
      </c>
      <c r="B56" s="10">
        <v>0</v>
      </c>
      <c r="C56" s="10">
        <v>0</v>
      </c>
      <c r="D56" s="13"/>
      <c r="E56" s="10">
        <v>0</v>
      </c>
      <c r="F56" s="12">
        <v>0</v>
      </c>
      <c r="G56" s="10">
        <v>6062.34</v>
      </c>
      <c r="H56" s="10">
        <v>6062.34</v>
      </c>
      <c r="I56" s="10">
        <v>0</v>
      </c>
      <c r="J56" s="10">
        <v>0</v>
      </c>
      <c r="K56" s="10">
        <f t="shared" si="17"/>
        <v>6062.34</v>
      </c>
      <c r="L56" s="15"/>
      <c r="M56" s="163"/>
      <c r="N56" s="61">
        <f t="shared" si="20"/>
        <v>0</v>
      </c>
    </row>
    <row r="57" spans="1:17" x14ac:dyDescent="0.2">
      <c r="A57" s="139" t="s">
        <v>34</v>
      </c>
      <c r="B57" s="10">
        <v>0</v>
      </c>
      <c r="C57" s="10">
        <v>154782.26</v>
      </c>
      <c r="D57" s="13">
        <v>0</v>
      </c>
      <c r="E57" s="10">
        <v>0</v>
      </c>
      <c r="F57" s="12">
        <v>0</v>
      </c>
      <c r="G57" s="10">
        <f>+C57+D57-E57</f>
        <v>154782.26</v>
      </c>
      <c r="H57" s="10">
        <v>237102.37</v>
      </c>
      <c r="I57" s="10">
        <v>0</v>
      </c>
      <c r="J57" s="10">
        <v>82320.11</v>
      </c>
      <c r="K57" s="10">
        <f t="shared" si="17"/>
        <v>154782.26</v>
      </c>
      <c r="L57" s="15"/>
      <c r="M57" s="163"/>
      <c r="N57" s="61">
        <f t="shared" si="20"/>
        <v>0</v>
      </c>
    </row>
    <row r="58" spans="1:17" x14ac:dyDescent="0.2">
      <c r="A58" s="20" t="s">
        <v>35</v>
      </c>
      <c r="B58" s="25">
        <f t="shared" ref="B58:K58" si="21">SUM(B54:B57)</f>
        <v>0</v>
      </c>
      <c r="C58" s="25">
        <f t="shared" si="21"/>
        <v>154782.26</v>
      </c>
      <c r="D58" s="25">
        <f t="shared" si="21"/>
        <v>0</v>
      </c>
      <c r="E58" s="25">
        <f t="shared" si="21"/>
        <v>0</v>
      </c>
      <c r="F58" s="25">
        <f t="shared" si="21"/>
        <v>0</v>
      </c>
      <c r="G58" s="25">
        <f t="shared" si="21"/>
        <v>176299.35</v>
      </c>
      <c r="H58" s="25">
        <f t="shared" si="21"/>
        <v>258619.46</v>
      </c>
      <c r="I58" s="25">
        <f t="shared" si="21"/>
        <v>0</v>
      </c>
      <c r="J58" s="25">
        <f t="shared" si="21"/>
        <v>82320.11</v>
      </c>
      <c r="K58" s="25">
        <f t="shared" si="21"/>
        <v>176299.35</v>
      </c>
      <c r="L58" s="27"/>
      <c r="M58" s="163"/>
      <c r="N58" s="61">
        <f t="shared" si="20"/>
        <v>0</v>
      </c>
    </row>
    <row r="59" spans="1:17" x14ac:dyDescent="0.2">
      <c r="A59" s="139" t="s">
        <v>18</v>
      </c>
      <c r="B59" s="10">
        <v>0</v>
      </c>
      <c r="C59" s="10">
        <v>0</v>
      </c>
      <c r="D59" s="10"/>
      <c r="E59" s="10">
        <v>0</v>
      </c>
      <c r="F59" s="12">
        <v>0</v>
      </c>
      <c r="G59" s="10">
        <v>1710.94</v>
      </c>
      <c r="H59" s="10">
        <f>1710.47+0.47</f>
        <v>1710.94</v>
      </c>
      <c r="I59" s="10">
        <v>0</v>
      </c>
      <c r="J59" s="10">
        <v>0</v>
      </c>
      <c r="K59" s="10">
        <f t="shared" si="17"/>
        <v>1710.94</v>
      </c>
      <c r="L59" s="15"/>
      <c r="M59" s="163"/>
      <c r="N59" s="61">
        <f t="shared" si="20"/>
        <v>0</v>
      </c>
    </row>
    <row r="60" spans="1:17" x14ac:dyDescent="0.2">
      <c r="A60" s="139" t="s">
        <v>20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1937.75</v>
      </c>
      <c r="H60" s="10">
        <v>1937.75</v>
      </c>
      <c r="I60" s="10">
        <v>0</v>
      </c>
      <c r="J60" s="10">
        <v>0</v>
      </c>
      <c r="K60" s="10">
        <f t="shared" si="17"/>
        <v>1937.75</v>
      </c>
      <c r="L60" s="15"/>
      <c r="M60" s="163"/>
      <c r="N60" s="61">
        <f t="shared" si="20"/>
        <v>0</v>
      </c>
    </row>
    <row r="61" spans="1:17" x14ac:dyDescent="0.2">
      <c r="A61" s="139" t="s">
        <v>21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1869.07</v>
      </c>
      <c r="H61" s="10">
        <v>1869.07</v>
      </c>
      <c r="I61" s="10">
        <v>0</v>
      </c>
      <c r="J61" s="10">
        <v>0</v>
      </c>
      <c r="K61" s="10">
        <f t="shared" si="17"/>
        <v>1869.07</v>
      </c>
      <c r="L61" s="15"/>
      <c r="M61" s="163"/>
      <c r="N61" s="61">
        <f t="shared" si="20"/>
        <v>0</v>
      </c>
    </row>
    <row r="62" spans="1:17" x14ac:dyDescent="0.2">
      <c r="A62" s="139" t="s">
        <v>24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17486.5</v>
      </c>
      <c r="H62" s="10">
        <v>17486.5</v>
      </c>
      <c r="I62" s="10">
        <v>0</v>
      </c>
      <c r="J62" s="10">
        <v>0</v>
      </c>
      <c r="K62" s="10">
        <f t="shared" si="17"/>
        <v>17486.5</v>
      </c>
      <c r="L62" s="15"/>
      <c r="M62" s="163"/>
      <c r="N62" s="61">
        <f t="shared" si="20"/>
        <v>0</v>
      </c>
    </row>
    <row r="63" spans="1:17" x14ac:dyDescent="0.2">
      <c r="A63" s="139" t="s">
        <v>25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8151.67</v>
      </c>
      <c r="H63" s="10">
        <v>8151.67</v>
      </c>
      <c r="I63" s="10">
        <v>0</v>
      </c>
      <c r="J63" s="10">
        <v>0</v>
      </c>
      <c r="K63" s="10">
        <f t="shared" si="17"/>
        <v>8151.67</v>
      </c>
      <c r="L63" s="15"/>
      <c r="M63" s="163"/>
      <c r="N63" s="61">
        <f t="shared" si="20"/>
        <v>0</v>
      </c>
    </row>
    <row r="64" spans="1:17" x14ac:dyDescent="0.2">
      <c r="A64" s="139" t="s">
        <v>29</v>
      </c>
      <c r="B64" s="10">
        <v>0</v>
      </c>
      <c r="C64" s="10">
        <v>0</v>
      </c>
      <c r="D64" s="10">
        <v>0</v>
      </c>
      <c r="E64" s="10">
        <v>0</v>
      </c>
      <c r="F64" s="12">
        <v>0</v>
      </c>
      <c r="G64" s="10">
        <v>17.399999999999999</v>
      </c>
      <c r="H64" s="10">
        <v>17.399999999999999</v>
      </c>
      <c r="I64" s="10"/>
      <c r="J64" s="10">
        <v>0</v>
      </c>
      <c r="K64" s="10">
        <f t="shared" si="17"/>
        <v>17.399999999999999</v>
      </c>
      <c r="L64" s="15"/>
      <c r="M64" s="163"/>
      <c r="N64" s="61">
        <f t="shared" si="20"/>
        <v>0</v>
      </c>
    </row>
    <row r="65" spans="1:14" x14ac:dyDescent="0.2">
      <c r="A65" s="20" t="s">
        <v>37</v>
      </c>
      <c r="B65" s="25">
        <f t="shared" ref="B65:K65" si="22">SUM(B59:B64)</f>
        <v>0</v>
      </c>
      <c r="C65" s="25">
        <f t="shared" si="22"/>
        <v>0</v>
      </c>
      <c r="D65" s="25">
        <f t="shared" si="22"/>
        <v>0</v>
      </c>
      <c r="E65" s="25">
        <f t="shared" si="22"/>
        <v>0</v>
      </c>
      <c r="F65" s="25">
        <f t="shared" si="22"/>
        <v>0</v>
      </c>
      <c r="G65" s="25">
        <f t="shared" si="22"/>
        <v>31173.33</v>
      </c>
      <c r="H65" s="25">
        <f t="shared" si="22"/>
        <v>31173.33</v>
      </c>
      <c r="I65" s="25">
        <f t="shared" si="22"/>
        <v>0</v>
      </c>
      <c r="J65" s="25">
        <f t="shared" si="22"/>
        <v>0</v>
      </c>
      <c r="K65" s="25">
        <f t="shared" si="22"/>
        <v>31173.33</v>
      </c>
      <c r="L65" s="27"/>
      <c r="M65" s="163"/>
      <c r="N65" s="61">
        <f>+K65-G65</f>
        <v>0</v>
      </c>
    </row>
    <row r="66" spans="1:14" x14ac:dyDescent="0.2">
      <c r="A66" s="139" t="s">
        <v>18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3476.37</v>
      </c>
      <c r="H66" s="10">
        <v>3476.37</v>
      </c>
      <c r="I66" s="10">
        <v>0</v>
      </c>
      <c r="J66" s="10">
        <v>0</v>
      </c>
      <c r="K66" s="10">
        <f t="shared" si="17"/>
        <v>3476.37</v>
      </c>
      <c r="L66" s="15"/>
      <c r="M66" s="163"/>
      <c r="N66" s="61">
        <f t="shared" si="20"/>
        <v>0</v>
      </c>
    </row>
    <row r="67" spans="1:14" x14ac:dyDescent="0.2">
      <c r="A67" s="139" t="s">
        <v>20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382.8</v>
      </c>
      <c r="H67" s="10">
        <v>382.8</v>
      </c>
      <c r="I67" s="10">
        <v>0</v>
      </c>
      <c r="J67" s="10">
        <v>0</v>
      </c>
      <c r="K67" s="10">
        <f t="shared" si="17"/>
        <v>382.8</v>
      </c>
      <c r="L67" s="15"/>
      <c r="M67" s="163"/>
      <c r="N67" s="61">
        <f t="shared" si="20"/>
        <v>0</v>
      </c>
    </row>
    <row r="68" spans="1:14" x14ac:dyDescent="0.2">
      <c r="A68" s="139" t="s">
        <v>24</v>
      </c>
      <c r="B68" s="10">
        <v>0</v>
      </c>
      <c r="C68" s="10">
        <v>0</v>
      </c>
      <c r="D68" s="10">
        <v>0</v>
      </c>
      <c r="E68" s="10">
        <v>0</v>
      </c>
      <c r="F68" s="12">
        <v>0</v>
      </c>
      <c r="G68" s="10">
        <v>16180.08</v>
      </c>
      <c r="H68" s="10">
        <v>16180.08</v>
      </c>
      <c r="I68" s="10">
        <v>0</v>
      </c>
      <c r="J68" s="10">
        <v>0</v>
      </c>
      <c r="K68" s="10">
        <f t="shared" si="17"/>
        <v>16180.08</v>
      </c>
      <c r="L68" s="15"/>
      <c r="M68" s="163"/>
      <c r="N68" s="61">
        <f t="shared" si="20"/>
        <v>0</v>
      </c>
    </row>
    <row r="69" spans="1:14" x14ac:dyDescent="0.2">
      <c r="A69" s="139" t="s">
        <v>29</v>
      </c>
      <c r="B69" s="10">
        <v>0</v>
      </c>
      <c r="C69" s="10">
        <v>0</v>
      </c>
      <c r="D69" s="10"/>
      <c r="E69" s="10">
        <v>0</v>
      </c>
      <c r="F69" s="12">
        <v>0</v>
      </c>
      <c r="G69" s="10">
        <v>242057.67</v>
      </c>
      <c r="H69" s="10">
        <v>242057.67</v>
      </c>
      <c r="I69" s="10">
        <v>0</v>
      </c>
      <c r="J69" s="10">
        <v>0</v>
      </c>
      <c r="K69" s="10">
        <f t="shared" si="17"/>
        <v>242057.67</v>
      </c>
      <c r="L69" s="15"/>
      <c r="M69" s="163"/>
      <c r="N69" s="61">
        <f t="shared" si="20"/>
        <v>0</v>
      </c>
    </row>
    <row r="70" spans="1:14" x14ac:dyDescent="0.2">
      <c r="A70" s="20" t="s">
        <v>38</v>
      </c>
      <c r="B70" s="25">
        <f t="shared" ref="B70:K70" si="23">SUM(B66:B69)</f>
        <v>0</v>
      </c>
      <c r="C70" s="25">
        <f t="shared" si="23"/>
        <v>0</v>
      </c>
      <c r="D70" s="25">
        <f t="shared" si="23"/>
        <v>0</v>
      </c>
      <c r="E70" s="25">
        <f t="shared" si="23"/>
        <v>0</v>
      </c>
      <c r="F70" s="25">
        <f t="shared" si="23"/>
        <v>0</v>
      </c>
      <c r="G70" s="25">
        <f t="shared" si="23"/>
        <v>262096.92</v>
      </c>
      <c r="H70" s="25">
        <f t="shared" si="23"/>
        <v>262096.92</v>
      </c>
      <c r="I70" s="25">
        <f t="shared" si="23"/>
        <v>0</v>
      </c>
      <c r="J70" s="25">
        <f t="shared" si="23"/>
        <v>0</v>
      </c>
      <c r="K70" s="25">
        <f t="shared" si="23"/>
        <v>262096.92</v>
      </c>
      <c r="L70" s="27"/>
      <c r="M70" s="163"/>
      <c r="N70" s="61">
        <f t="shared" si="20"/>
        <v>0</v>
      </c>
    </row>
    <row r="71" spans="1:14" x14ac:dyDescent="0.2">
      <c r="A71" s="13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70435.27</v>
      </c>
      <c r="H71" s="10">
        <v>27196.65</v>
      </c>
      <c r="I71" s="10">
        <v>1260055.98</v>
      </c>
      <c r="J71" s="10">
        <v>1216817.3599999999</v>
      </c>
      <c r="K71" s="10">
        <f t="shared" si="17"/>
        <v>70435.270000000019</v>
      </c>
      <c r="L71" s="15"/>
      <c r="M71" s="163"/>
      <c r="N71" s="61">
        <f t="shared" si="20"/>
        <v>0</v>
      </c>
    </row>
    <row r="72" spans="1:14" x14ac:dyDescent="0.2">
      <c r="A72" s="139" t="s">
        <v>36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-10</v>
      </c>
      <c r="H72" s="10">
        <v>-10</v>
      </c>
      <c r="I72" s="10">
        <v>0</v>
      </c>
      <c r="J72" s="10">
        <v>0</v>
      </c>
      <c r="K72" s="10">
        <f t="shared" si="17"/>
        <v>-10</v>
      </c>
      <c r="L72" s="15"/>
      <c r="M72" s="163"/>
      <c r="N72" s="61">
        <f t="shared" si="20"/>
        <v>0</v>
      </c>
    </row>
    <row r="73" spans="1:14" x14ac:dyDescent="0.2">
      <c r="A73" s="139" t="s">
        <v>20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10409.09</v>
      </c>
      <c r="H73" s="10">
        <v>8124.4500000000007</v>
      </c>
      <c r="I73" s="10">
        <v>1364164.99</v>
      </c>
      <c r="J73" s="10">
        <v>1361880.35</v>
      </c>
      <c r="K73" s="10">
        <f t="shared" si="17"/>
        <v>10409.089999999851</v>
      </c>
      <c r="L73" s="15"/>
      <c r="M73" s="163"/>
      <c r="N73" s="61">
        <f t="shared" si="20"/>
        <v>-1.4915713109076023E-10</v>
      </c>
    </row>
    <row r="74" spans="1:14" x14ac:dyDescent="0.2">
      <c r="A74" s="139" t="s">
        <v>24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1150.8900000000001</v>
      </c>
      <c r="H74" s="10">
        <v>42631.81</v>
      </c>
      <c r="I74" s="10">
        <v>412765.08</v>
      </c>
      <c r="J74" s="10">
        <v>454246</v>
      </c>
      <c r="K74" s="10">
        <f t="shared" si="17"/>
        <v>1150.890000000014</v>
      </c>
      <c r="L74" s="15"/>
      <c r="M74" s="163"/>
      <c r="N74" s="61">
        <f t="shared" si="20"/>
        <v>1.3869794202037156E-11</v>
      </c>
    </row>
    <row r="75" spans="1:14" x14ac:dyDescent="0.2">
      <c r="A75" s="139" t="s">
        <v>25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719.87</v>
      </c>
      <c r="H75" s="10">
        <v>719.87</v>
      </c>
      <c r="I75" s="10">
        <v>0</v>
      </c>
      <c r="J75" s="10">
        <v>0</v>
      </c>
      <c r="K75" s="10">
        <f t="shared" si="17"/>
        <v>719.87</v>
      </c>
      <c r="L75" s="15"/>
      <c r="M75" s="163"/>
      <c r="N75" s="61">
        <f t="shared" si="20"/>
        <v>0</v>
      </c>
    </row>
    <row r="76" spans="1:14" x14ac:dyDescent="0.2">
      <c r="A76" s="139" t="s">
        <v>27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267528.84000000003</v>
      </c>
      <c r="H76" s="10">
        <v>0</v>
      </c>
      <c r="I76" s="10">
        <v>267528.84000000003</v>
      </c>
      <c r="J76" s="10">
        <v>0</v>
      </c>
      <c r="K76" s="10">
        <f t="shared" si="17"/>
        <v>267528.84000000003</v>
      </c>
      <c r="L76" s="15"/>
      <c r="M76" s="163"/>
      <c r="N76" s="61">
        <f t="shared" si="20"/>
        <v>0</v>
      </c>
    </row>
    <row r="77" spans="1:14" x14ac:dyDescent="0.2">
      <c r="A77" s="139" t="s">
        <v>29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236767.4</v>
      </c>
      <c r="H77" s="10">
        <v>243581.68</v>
      </c>
      <c r="I77" s="10">
        <v>0</v>
      </c>
      <c r="J77" s="10">
        <f>2827.74+3986.54</f>
        <v>6814.28</v>
      </c>
      <c r="K77" s="10">
        <f t="shared" si="17"/>
        <v>236767.4</v>
      </c>
      <c r="L77" s="15"/>
      <c r="M77" s="163"/>
      <c r="N77" s="61">
        <f t="shared" si="20"/>
        <v>0</v>
      </c>
    </row>
    <row r="78" spans="1:14" x14ac:dyDescent="0.2">
      <c r="A78" s="20" t="s">
        <v>39</v>
      </c>
      <c r="B78" s="25">
        <f t="shared" ref="B78:K78" si="24">SUM(B71:B77)</f>
        <v>0</v>
      </c>
      <c r="C78" s="25">
        <f t="shared" si="24"/>
        <v>0</v>
      </c>
      <c r="D78" s="25">
        <f t="shared" si="24"/>
        <v>0</v>
      </c>
      <c r="E78" s="25">
        <f t="shared" si="24"/>
        <v>0</v>
      </c>
      <c r="F78" s="25">
        <f t="shared" si="24"/>
        <v>0</v>
      </c>
      <c r="G78" s="25">
        <f t="shared" si="24"/>
        <v>587001.36</v>
      </c>
      <c r="H78" s="25">
        <f t="shared" si="24"/>
        <v>322244.45999999996</v>
      </c>
      <c r="I78" s="25">
        <f t="shared" si="24"/>
        <v>3304514.8899999997</v>
      </c>
      <c r="J78" s="25">
        <f t="shared" si="24"/>
        <v>3039757.9899999998</v>
      </c>
      <c r="K78" s="25">
        <f t="shared" si="24"/>
        <v>587001.35999999987</v>
      </c>
      <c r="L78" s="27"/>
      <c r="M78" s="163"/>
      <c r="N78" s="61">
        <f t="shared" si="20"/>
        <v>0</v>
      </c>
    </row>
    <row r="79" spans="1:14" x14ac:dyDescent="0.25">
      <c r="A79" s="20" t="s">
        <v>44</v>
      </c>
      <c r="B79" s="25">
        <f t="shared" ref="B79:K79" si="25">+B41+B53+B58+B65+B70+B78</f>
        <v>111331779.88999999</v>
      </c>
      <c r="C79" s="25">
        <f t="shared" si="25"/>
        <v>111486562.14999999</v>
      </c>
      <c r="D79" s="25">
        <f t="shared" si="25"/>
        <v>186196.78</v>
      </c>
      <c r="E79" s="25">
        <f t="shared" si="25"/>
        <v>106422310.47999997</v>
      </c>
      <c r="F79" s="25">
        <f t="shared" si="25"/>
        <v>8.8348505908473474</v>
      </c>
      <c r="G79" s="25">
        <f t="shared" si="25"/>
        <v>6152237.1499999994</v>
      </c>
      <c r="H79" s="25">
        <f t="shared" si="25"/>
        <v>8648988.9900000021</v>
      </c>
      <c r="I79" s="25">
        <f t="shared" si="25"/>
        <v>5103832.99</v>
      </c>
      <c r="J79" s="25">
        <f t="shared" si="25"/>
        <v>7600584.8300000001</v>
      </c>
      <c r="K79" s="25">
        <f t="shared" si="25"/>
        <v>6152237.1499999985</v>
      </c>
      <c r="L79" s="27"/>
      <c r="M79" s="163"/>
    </row>
    <row r="80" spans="1:14" x14ac:dyDescent="0.25">
      <c r="A80" s="28"/>
      <c r="B80" s="29"/>
      <c r="C80" s="29"/>
      <c r="D80" s="29"/>
      <c r="E80" s="28"/>
      <c r="F80" s="28"/>
      <c r="G80" s="28"/>
      <c r="H80" s="28"/>
      <c r="I80" s="28"/>
      <c r="J80" s="28"/>
      <c r="K80" s="28"/>
      <c r="L80" s="30"/>
      <c r="M80" s="30"/>
    </row>
    <row r="81" spans="1:13" x14ac:dyDescent="0.25">
      <c r="A81" s="140"/>
      <c r="B81" s="19"/>
      <c r="C81" s="333" t="s">
        <v>45</v>
      </c>
      <c r="D81" s="333"/>
      <c r="E81" s="333"/>
      <c r="F81" s="333"/>
      <c r="G81" s="333"/>
      <c r="H81" s="333"/>
      <c r="I81" s="333"/>
      <c r="J81" s="19"/>
      <c r="K81" s="19"/>
      <c r="L81" s="19"/>
      <c r="M81" s="19"/>
    </row>
    <row r="82" spans="1:13" x14ac:dyDescent="0.25">
      <c r="A82" s="140"/>
      <c r="B82" s="19"/>
      <c r="C82" s="175"/>
      <c r="D82" s="175"/>
      <c r="E82" s="175"/>
      <c r="F82" s="175"/>
      <c r="G82" s="175"/>
      <c r="H82" s="175"/>
      <c r="I82" s="175"/>
      <c r="J82" s="19"/>
      <c r="K82" s="19"/>
      <c r="L82" s="19"/>
      <c r="M82" s="19"/>
    </row>
    <row r="83" spans="1:13" x14ac:dyDescent="0.25">
      <c r="A83" s="140"/>
      <c r="B83" s="325" t="s">
        <v>46</v>
      </c>
      <c r="C83" s="325"/>
      <c r="D83" s="326" t="s">
        <v>47</v>
      </c>
      <c r="E83" s="327"/>
      <c r="F83" s="328"/>
      <c r="G83" s="320" t="s">
        <v>48</v>
      </c>
      <c r="H83" s="320"/>
      <c r="I83" s="177" t="s">
        <v>10</v>
      </c>
      <c r="J83" s="19"/>
      <c r="K83" s="19"/>
      <c r="L83" s="19"/>
      <c r="M83" s="19"/>
    </row>
    <row r="84" spans="1:13" x14ac:dyDescent="0.25">
      <c r="A84" s="140"/>
      <c r="B84" s="329" t="s">
        <v>49</v>
      </c>
      <c r="C84" s="329"/>
      <c r="D84" s="330">
        <v>9645123.6099999994</v>
      </c>
      <c r="E84" s="331"/>
      <c r="F84" s="332">
        <v>0</v>
      </c>
      <c r="G84" s="330">
        <f>+D84</f>
        <v>9645123.6099999994</v>
      </c>
      <c r="H84" s="332"/>
      <c r="I84" s="33">
        <f>G84/D84</f>
        <v>1</v>
      </c>
      <c r="J84" s="19"/>
      <c r="K84" s="19"/>
      <c r="L84" s="19"/>
      <c r="M84" s="19"/>
    </row>
    <row r="85" spans="1:13" x14ac:dyDescent="0.25">
      <c r="A85" s="140"/>
      <c r="B85" s="320"/>
      <c r="C85" s="320"/>
      <c r="D85" s="321"/>
      <c r="E85" s="322"/>
      <c r="F85" s="323"/>
      <c r="G85" s="324"/>
      <c r="H85" s="324"/>
      <c r="I85" s="178"/>
      <c r="J85" s="19"/>
      <c r="K85" s="19"/>
      <c r="L85" s="19"/>
      <c r="M85" s="19"/>
    </row>
    <row r="86" spans="1:13" x14ac:dyDescent="0.25">
      <c r="A86" s="140"/>
      <c r="B86" s="320"/>
      <c r="C86" s="320"/>
      <c r="D86" s="321"/>
      <c r="E86" s="322"/>
      <c r="F86" s="323"/>
      <c r="G86" s="324"/>
      <c r="H86" s="324"/>
      <c r="I86" s="178"/>
      <c r="J86" s="19"/>
      <c r="K86" s="19"/>
      <c r="L86" s="19"/>
      <c r="M86" s="19"/>
    </row>
    <row r="87" spans="1:13" x14ac:dyDescent="0.25">
      <c r="A87" s="140"/>
      <c r="B87" s="320"/>
      <c r="C87" s="320"/>
      <c r="D87" s="321"/>
      <c r="E87" s="322"/>
      <c r="F87" s="323"/>
      <c r="G87" s="324"/>
      <c r="H87" s="324"/>
      <c r="I87" s="178"/>
      <c r="J87" s="19"/>
      <c r="K87" s="19"/>
      <c r="L87" s="19"/>
      <c r="M87" s="19"/>
    </row>
    <row r="88" spans="1:13" x14ac:dyDescent="0.25">
      <c r="A88" s="35" t="s">
        <v>50</v>
      </c>
      <c r="B88" s="36"/>
      <c r="C88" s="36"/>
      <c r="D88" s="36"/>
      <c r="E88" s="36"/>
      <c r="F88" s="36"/>
      <c r="G88" s="37"/>
      <c r="H88" s="37"/>
      <c r="I88" s="38"/>
      <c r="J88" s="19"/>
      <c r="K88" s="19"/>
      <c r="L88" s="19"/>
      <c r="M88" s="19"/>
    </row>
  </sheetData>
  <mergeCells count="33">
    <mergeCell ref="B84:C84"/>
    <mergeCell ref="D84:F84"/>
    <mergeCell ref="G84:H84"/>
    <mergeCell ref="B87:C87"/>
    <mergeCell ref="D87:F87"/>
    <mergeCell ref="G87:H87"/>
    <mergeCell ref="B85:C85"/>
    <mergeCell ref="D85:F85"/>
    <mergeCell ref="G85:H85"/>
    <mergeCell ref="B86:C86"/>
    <mergeCell ref="D86:F86"/>
    <mergeCell ref="G86:H86"/>
    <mergeCell ref="J9:J10"/>
    <mergeCell ref="K9:K10"/>
    <mergeCell ref="B83:C83"/>
    <mergeCell ref="D83:F83"/>
    <mergeCell ref="G83:H83"/>
    <mergeCell ref="C81:I81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A1:L1"/>
    <mergeCell ref="A3:L3"/>
    <mergeCell ref="A6:L6"/>
    <mergeCell ref="A7:L7"/>
    <mergeCell ref="C8:G8"/>
    <mergeCell ref="H8:K8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282"/>
  <sheetViews>
    <sheetView zoomScale="120" zoomScaleNormal="120" workbookViewId="0">
      <pane xSplit="1" ySplit="10" topLeftCell="B23" activePane="bottomRight" state="frozen"/>
      <selection pane="topRight" activeCell="B1" sqref="B1"/>
      <selection pane="bottomLeft" activeCell="A11" sqref="A11"/>
      <selection pane="bottomRight" activeCell="C24" sqref="C24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3" width="16.5703125" style="1"/>
    <col min="14" max="14" width="24.28515625" style="165" customWidth="1"/>
    <col min="15" max="15" width="16.5703125" style="169" customWidth="1"/>
    <col min="16" max="17" width="16.5703125" style="141"/>
    <col min="18" max="257" width="16.5703125" style="1"/>
    <col min="258" max="258" width="16.5703125" style="1" customWidth="1"/>
    <col min="259" max="262" width="12.7109375" style="1" customWidth="1"/>
    <col min="263" max="263" width="6.5703125" style="1" bestFit="1" customWidth="1"/>
    <col min="264" max="268" width="12.7109375" style="1" customWidth="1"/>
    <col min="269" max="513" width="16.5703125" style="1"/>
    <col min="514" max="514" width="16.5703125" style="1" customWidth="1"/>
    <col min="515" max="518" width="12.7109375" style="1" customWidth="1"/>
    <col min="519" max="519" width="6.5703125" style="1" bestFit="1" customWidth="1"/>
    <col min="520" max="524" width="12.7109375" style="1" customWidth="1"/>
    <col min="525" max="769" width="16.5703125" style="1"/>
    <col min="770" max="770" width="16.5703125" style="1" customWidth="1"/>
    <col min="771" max="774" width="12.7109375" style="1" customWidth="1"/>
    <col min="775" max="775" width="6.5703125" style="1" bestFit="1" customWidth="1"/>
    <col min="776" max="780" width="12.7109375" style="1" customWidth="1"/>
    <col min="781" max="1025" width="16.5703125" style="1"/>
    <col min="1026" max="1026" width="16.5703125" style="1" customWidth="1"/>
    <col min="1027" max="1030" width="12.7109375" style="1" customWidth="1"/>
    <col min="1031" max="1031" width="6.5703125" style="1" bestFit="1" customWidth="1"/>
    <col min="1032" max="1036" width="12.7109375" style="1" customWidth="1"/>
    <col min="1037" max="1281" width="16.5703125" style="1"/>
    <col min="1282" max="1282" width="16.5703125" style="1" customWidth="1"/>
    <col min="1283" max="1286" width="12.7109375" style="1" customWidth="1"/>
    <col min="1287" max="1287" width="6.5703125" style="1" bestFit="1" customWidth="1"/>
    <col min="1288" max="1292" width="12.7109375" style="1" customWidth="1"/>
    <col min="1293" max="1537" width="16.5703125" style="1"/>
    <col min="1538" max="1538" width="16.5703125" style="1" customWidth="1"/>
    <col min="1539" max="1542" width="12.7109375" style="1" customWidth="1"/>
    <col min="1543" max="1543" width="6.5703125" style="1" bestFit="1" customWidth="1"/>
    <col min="1544" max="1548" width="12.7109375" style="1" customWidth="1"/>
    <col min="1549" max="1793" width="16.5703125" style="1"/>
    <col min="1794" max="1794" width="16.5703125" style="1" customWidth="1"/>
    <col min="1795" max="1798" width="12.7109375" style="1" customWidth="1"/>
    <col min="1799" max="1799" width="6.5703125" style="1" bestFit="1" customWidth="1"/>
    <col min="1800" max="1804" width="12.7109375" style="1" customWidth="1"/>
    <col min="1805" max="2049" width="16.5703125" style="1"/>
    <col min="2050" max="2050" width="16.5703125" style="1" customWidth="1"/>
    <col min="2051" max="2054" width="12.7109375" style="1" customWidth="1"/>
    <col min="2055" max="2055" width="6.5703125" style="1" bestFit="1" customWidth="1"/>
    <col min="2056" max="2060" width="12.7109375" style="1" customWidth="1"/>
    <col min="2061" max="2305" width="16.5703125" style="1"/>
    <col min="2306" max="2306" width="16.5703125" style="1" customWidth="1"/>
    <col min="2307" max="2310" width="12.7109375" style="1" customWidth="1"/>
    <col min="2311" max="2311" width="6.5703125" style="1" bestFit="1" customWidth="1"/>
    <col min="2312" max="2316" width="12.7109375" style="1" customWidth="1"/>
    <col min="2317" max="2561" width="16.5703125" style="1"/>
    <col min="2562" max="2562" width="16.5703125" style="1" customWidth="1"/>
    <col min="2563" max="2566" width="12.7109375" style="1" customWidth="1"/>
    <col min="2567" max="2567" width="6.5703125" style="1" bestFit="1" customWidth="1"/>
    <col min="2568" max="2572" width="12.7109375" style="1" customWidth="1"/>
    <col min="2573" max="2817" width="16.5703125" style="1"/>
    <col min="2818" max="2818" width="16.5703125" style="1" customWidth="1"/>
    <col min="2819" max="2822" width="12.7109375" style="1" customWidth="1"/>
    <col min="2823" max="2823" width="6.5703125" style="1" bestFit="1" customWidth="1"/>
    <col min="2824" max="2828" width="12.7109375" style="1" customWidth="1"/>
    <col min="2829" max="3073" width="16.5703125" style="1"/>
    <col min="3074" max="3074" width="16.5703125" style="1" customWidth="1"/>
    <col min="3075" max="3078" width="12.7109375" style="1" customWidth="1"/>
    <col min="3079" max="3079" width="6.5703125" style="1" bestFit="1" customWidth="1"/>
    <col min="3080" max="3084" width="12.7109375" style="1" customWidth="1"/>
    <col min="3085" max="3329" width="16.5703125" style="1"/>
    <col min="3330" max="3330" width="16.5703125" style="1" customWidth="1"/>
    <col min="3331" max="3334" width="12.7109375" style="1" customWidth="1"/>
    <col min="3335" max="3335" width="6.5703125" style="1" bestFit="1" customWidth="1"/>
    <col min="3336" max="3340" width="12.7109375" style="1" customWidth="1"/>
    <col min="3341" max="3585" width="16.5703125" style="1"/>
    <col min="3586" max="3586" width="16.5703125" style="1" customWidth="1"/>
    <col min="3587" max="3590" width="12.7109375" style="1" customWidth="1"/>
    <col min="3591" max="3591" width="6.5703125" style="1" bestFit="1" customWidth="1"/>
    <col min="3592" max="3596" width="12.7109375" style="1" customWidth="1"/>
    <col min="3597" max="3841" width="16.5703125" style="1"/>
    <col min="3842" max="3842" width="16.5703125" style="1" customWidth="1"/>
    <col min="3843" max="3846" width="12.7109375" style="1" customWidth="1"/>
    <col min="3847" max="3847" width="6.5703125" style="1" bestFit="1" customWidth="1"/>
    <col min="3848" max="3852" width="12.7109375" style="1" customWidth="1"/>
    <col min="3853" max="4097" width="16.5703125" style="1"/>
    <col min="4098" max="4098" width="16.5703125" style="1" customWidth="1"/>
    <col min="4099" max="4102" width="12.7109375" style="1" customWidth="1"/>
    <col min="4103" max="4103" width="6.5703125" style="1" bestFit="1" customWidth="1"/>
    <col min="4104" max="4108" width="12.7109375" style="1" customWidth="1"/>
    <col min="4109" max="4353" width="16.5703125" style="1"/>
    <col min="4354" max="4354" width="16.5703125" style="1" customWidth="1"/>
    <col min="4355" max="4358" width="12.7109375" style="1" customWidth="1"/>
    <col min="4359" max="4359" width="6.5703125" style="1" bestFit="1" customWidth="1"/>
    <col min="4360" max="4364" width="12.7109375" style="1" customWidth="1"/>
    <col min="4365" max="4609" width="16.5703125" style="1"/>
    <col min="4610" max="4610" width="16.5703125" style="1" customWidth="1"/>
    <col min="4611" max="4614" width="12.7109375" style="1" customWidth="1"/>
    <col min="4615" max="4615" width="6.5703125" style="1" bestFit="1" customWidth="1"/>
    <col min="4616" max="4620" width="12.7109375" style="1" customWidth="1"/>
    <col min="4621" max="4865" width="16.5703125" style="1"/>
    <col min="4866" max="4866" width="16.5703125" style="1" customWidth="1"/>
    <col min="4867" max="4870" width="12.7109375" style="1" customWidth="1"/>
    <col min="4871" max="4871" width="6.5703125" style="1" bestFit="1" customWidth="1"/>
    <col min="4872" max="4876" width="12.7109375" style="1" customWidth="1"/>
    <col min="4877" max="5121" width="16.5703125" style="1"/>
    <col min="5122" max="5122" width="16.5703125" style="1" customWidth="1"/>
    <col min="5123" max="5126" width="12.7109375" style="1" customWidth="1"/>
    <col min="5127" max="5127" width="6.5703125" style="1" bestFit="1" customWidth="1"/>
    <col min="5128" max="5132" width="12.7109375" style="1" customWidth="1"/>
    <col min="5133" max="5377" width="16.5703125" style="1"/>
    <col min="5378" max="5378" width="16.5703125" style="1" customWidth="1"/>
    <col min="5379" max="5382" width="12.7109375" style="1" customWidth="1"/>
    <col min="5383" max="5383" width="6.5703125" style="1" bestFit="1" customWidth="1"/>
    <col min="5384" max="5388" width="12.7109375" style="1" customWidth="1"/>
    <col min="5389" max="5633" width="16.5703125" style="1"/>
    <col min="5634" max="5634" width="16.5703125" style="1" customWidth="1"/>
    <col min="5635" max="5638" width="12.7109375" style="1" customWidth="1"/>
    <col min="5639" max="5639" width="6.5703125" style="1" bestFit="1" customWidth="1"/>
    <col min="5640" max="5644" width="12.7109375" style="1" customWidth="1"/>
    <col min="5645" max="5889" width="16.5703125" style="1"/>
    <col min="5890" max="5890" width="16.5703125" style="1" customWidth="1"/>
    <col min="5891" max="5894" width="12.7109375" style="1" customWidth="1"/>
    <col min="5895" max="5895" width="6.5703125" style="1" bestFit="1" customWidth="1"/>
    <col min="5896" max="5900" width="12.7109375" style="1" customWidth="1"/>
    <col min="5901" max="6145" width="16.5703125" style="1"/>
    <col min="6146" max="6146" width="16.5703125" style="1" customWidth="1"/>
    <col min="6147" max="6150" width="12.7109375" style="1" customWidth="1"/>
    <col min="6151" max="6151" width="6.5703125" style="1" bestFit="1" customWidth="1"/>
    <col min="6152" max="6156" width="12.7109375" style="1" customWidth="1"/>
    <col min="6157" max="6401" width="16.5703125" style="1"/>
    <col min="6402" max="6402" width="16.5703125" style="1" customWidth="1"/>
    <col min="6403" max="6406" width="12.7109375" style="1" customWidth="1"/>
    <col min="6407" max="6407" width="6.5703125" style="1" bestFit="1" customWidth="1"/>
    <col min="6408" max="6412" width="12.7109375" style="1" customWidth="1"/>
    <col min="6413" max="6657" width="16.5703125" style="1"/>
    <col min="6658" max="6658" width="16.5703125" style="1" customWidth="1"/>
    <col min="6659" max="6662" width="12.7109375" style="1" customWidth="1"/>
    <col min="6663" max="6663" width="6.5703125" style="1" bestFit="1" customWidth="1"/>
    <col min="6664" max="6668" width="12.7109375" style="1" customWidth="1"/>
    <col min="6669" max="6913" width="16.5703125" style="1"/>
    <col min="6914" max="6914" width="16.5703125" style="1" customWidth="1"/>
    <col min="6915" max="6918" width="12.7109375" style="1" customWidth="1"/>
    <col min="6919" max="6919" width="6.5703125" style="1" bestFit="1" customWidth="1"/>
    <col min="6920" max="6924" width="12.7109375" style="1" customWidth="1"/>
    <col min="6925" max="7169" width="16.5703125" style="1"/>
    <col min="7170" max="7170" width="16.5703125" style="1" customWidth="1"/>
    <col min="7171" max="7174" width="12.7109375" style="1" customWidth="1"/>
    <col min="7175" max="7175" width="6.5703125" style="1" bestFit="1" customWidth="1"/>
    <col min="7176" max="7180" width="12.7109375" style="1" customWidth="1"/>
    <col min="7181" max="7425" width="16.5703125" style="1"/>
    <col min="7426" max="7426" width="16.5703125" style="1" customWidth="1"/>
    <col min="7427" max="7430" width="12.7109375" style="1" customWidth="1"/>
    <col min="7431" max="7431" width="6.5703125" style="1" bestFit="1" customWidth="1"/>
    <col min="7432" max="7436" width="12.7109375" style="1" customWidth="1"/>
    <col min="7437" max="7681" width="16.5703125" style="1"/>
    <col min="7682" max="7682" width="16.5703125" style="1" customWidth="1"/>
    <col min="7683" max="7686" width="12.7109375" style="1" customWidth="1"/>
    <col min="7687" max="7687" width="6.5703125" style="1" bestFit="1" customWidth="1"/>
    <col min="7688" max="7692" width="12.7109375" style="1" customWidth="1"/>
    <col min="7693" max="7937" width="16.5703125" style="1"/>
    <col min="7938" max="7938" width="16.5703125" style="1" customWidth="1"/>
    <col min="7939" max="7942" width="12.7109375" style="1" customWidth="1"/>
    <col min="7943" max="7943" width="6.5703125" style="1" bestFit="1" customWidth="1"/>
    <col min="7944" max="7948" width="12.7109375" style="1" customWidth="1"/>
    <col min="7949" max="8193" width="16.5703125" style="1"/>
    <col min="8194" max="8194" width="16.5703125" style="1" customWidth="1"/>
    <col min="8195" max="8198" width="12.7109375" style="1" customWidth="1"/>
    <col min="8199" max="8199" width="6.5703125" style="1" bestFit="1" customWidth="1"/>
    <col min="8200" max="8204" width="12.7109375" style="1" customWidth="1"/>
    <col min="8205" max="8449" width="16.5703125" style="1"/>
    <col min="8450" max="8450" width="16.5703125" style="1" customWidth="1"/>
    <col min="8451" max="8454" width="12.7109375" style="1" customWidth="1"/>
    <col min="8455" max="8455" width="6.5703125" style="1" bestFit="1" customWidth="1"/>
    <col min="8456" max="8460" width="12.7109375" style="1" customWidth="1"/>
    <col min="8461" max="8705" width="16.5703125" style="1"/>
    <col min="8706" max="8706" width="16.5703125" style="1" customWidth="1"/>
    <col min="8707" max="8710" width="12.7109375" style="1" customWidth="1"/>
    <col min="8711" max="8711" width="6.5703125" style="1" bestFit="1" customWidth="1"/>
    <col min="8712" max="8716" width="12.7109375" style="1" customWidth="1"/>
    <col min="8717" max="8961" width="16.5703125" style="1"/>
    <col min="8962" max="8962" width="16.5703125" style="1" customWidth="1"/>
    <col min="8963" max="8966" width="12.7109375" style="1" customWidth="1"/>
    <col min="8967" max="8967" width="6.5703125" style="1" bestFit="1" customWidth="1"/>
    <col min="8968" max="8972" width="12.7109375" style="1" customWidth="1"/>
    <col min="8973" max="9217" width="16.5703125" style="1"/>
    <col min="9218" max="9218" width="16.5703125" style="1" customWidth="1"/>
    <col min="9219" max="9222" width="12.7109375" style="1" customWidth="1"/>
    <col min="9223" max="9223" width="6.5703125" style="1" bestFit="1" customWidth="1"/>
    <col min="9224" max="9228" width="12.7109375" style="1" customWidth="1"/>
    <col min="9229" max="9473" width="16.5703125" style="1"/>
    <col min="9474" max="9474" width="16.5703125" style="1" customWidth="1"/>
    <col min="9475" max="9478" width="12.7109375" style="1" customWidth="1"/>
    <col min="9479" max="9479" width="6.5703125" style="1" bestFit="1" customWidth="1"/>
    <col min="9480" max="9484" width="12.7109375" style="1" customWidth="1"/>
    <col min="9485" max="9729" width="16.5703125" style="1"/>
    <col min="9730" max="9730" width="16.5703125" style="1" customWidth="1"/>
    <col min="9731" max="9734" width="12.7109375" style="1" customWidth="1"/>
    <col min="9735" max="9735" width="6.5703125" style="1" bestFit="1" customWidth="1"/>
    <col min="9736" max="9740" width="12.7109375" style="1" customWidth="1"/>
    <col min="9741" max="9985" width="16.5703125" style="1"/>
    <col min="9986" max="9986" width="16.5703125" style="1" customWidth="1"/>
    <col min="9987" max="9990" width="12.7109375" style="1" customWidth="1"/>
    <col min="9991" max="9991" width="6.5703125" style="1" bestFit="1" customWidth="1"/>
    <col min="9992" max="9996" width="12.7109375" style="1" customWidth="1"/>
    <col min="9997" max="10241" width="16.5703125" style="1"/>
    <col min="10242" max="10242" width="16.5703125" style="1" customWidth="1"/>
    <col min="10243" max="10246" width="12.7109375" style="1" customWidth="1"/>
    <col min="10247" max="10247" width="6.5703125" style="1" bestFit="1" customWidth="1"/>
    <col min="10248" max="10252" width="12.7109375" style="1" customWidth="1"/>
    <col min="10253" max="10497" width="16.5703125" style="1"/>
    <col min="10498" max="10498" width="16.5703125" style="1" customWidth="1"/>
    <col min="10499" max="10502" width="12.7109375" style="1" customWidth="1"/>
    <col min="10503" max="10503" width="6.5703125" style="1" bestFit="1" customWidth="1"/>
    <col min="10504" max="10508" width="12.7109375" style="1" customWidth="1"/>
    <col min="10509" max="10753" width="16.5703125" style="1"/>
    <col min="10754" max="10754" width="16.5703125" style="1" customWidth="1"/>
    <col min="10755" max="10758" width="12.7109375" style="1" customWidth="1"/>
    <col min="10759" max="10759" width="6.5703125" style="1" bestFit="1" customWidth="1"/>
    <col min="10760" max="10764" width="12.7109375" style="1" customWidth="1"/>
    <col min="10765" max="11009" width="16.5703125" style="1"/>
    <col min="11010" max="11010" width="16.5703125" style="1" customWidth="1"/>
    <col min="11011" max="11014" width="12.7109375" style="1" customWidth="1"/>
    <col min="11015" max="11015" width="6.5703125" style="1" bestFit="1" customWidth="1"/>
    <col min="11016" max="11020" width="12.7109375" style="1" customWidth="1"/>
    <col min="11021" max="11265" width="16.5703125" style="1"/>
    <col min="11266" max="11266" width="16.5703125" style="1" customWidth="1"/>
    <col min="11267" max="11270" width="12.7109375" style="1" customWidth="1"/>
    <col min="11271" max="11271" width="6.5703125" style="1" bestFit="1" customWidth="1"/>
    <col min="11272" max="11276" width="12.7109375" style="1" customWidth="1"/>
    <col min="11277" max="11521" width="16.5703125" style="1"/>
    <col min="11522" max="11522" width="16.5703125" style="1" customWidth="1"/>
    <col min="11523" max="11526" width="12.7109375" style="1" customWidth="1"/>
    <col min="11527" max="11527" width="6.5703125" style="1" bestFit="1" customWidth="1"/>
    <col min="11528" max="11532" width="12.7109375" style="1" customWidth="1"/>
    <col min="11533" max="11777" width="16.5703125" style="1"/>
    <col min="11778" max="11778" width="16.5703125" style="1" customWidth="1"/>
    <col min="11779" max="11782" width="12.7109375" style="1" customWidth="1"/>
    <col min="11783" max="11783" width="6.5703125" style="1" bestFit="1" customWidth="1"/>
    <col min="11784" max="11788" width="12.7109375" style="1" customWidth="1"/>
    <col min="11789" max="12033" width="16.5703125" style="1"/>
    <col min="12034" max="12034" width="16.5703125" style="1" customWidth="1"/>
    <col min="12035" max="12038" width="12.7109375" style="1" customWidth="1"/>
    <col min="12039" max="12039" width="6.5703125" style="1" bestFit="1" customWidth="1"/>
    <col min="12040" max="12044" width="12.7109375" style="1" customWidth="1"/>
    <col min="12045" max="12289" width="16.5703125" style="1"/>
    <col min="12290" max="12290" width="16.5703125" style="1" customWidth="1"/>
    <col min="12291" max="12294" width="12.7109375" style="1" customWidth="1"/>
    <col min="12295" max="12295" width="6.5703125" style="1" bestFit="1" customWidth="1"/>
    <col min="12296" max="12300" width="12.7109375" style="1" customWidth="1"/>
    <col min="12301" max="12545" width="16.5703125" style="1"/>
    <col min="12546" max="12546" width="16.5703125" style="1" customWidth="1"/>
    <col min="12547" max="12550" width="12.7109375" style="1" customWidth="1"/>
    <col min="12551" max="12551" width="6.5703125" style="1" bestFit="1" customWidth="1"/>
    <col min="12552" max="12556" width="12.7109375" style="1" customWidth="1"/>
    <col min="12557" max="12801" width="16.5703125" style="1"/>
    <col min="12802" max="12802" width="16.5703125" style="1" customWidth="1"/>
    <col min="12803" max="12806" width="12.7109375" style="1" customWidth="1"/>
    <col min="12807" max="12807" width="6.5703125" style="1" bestFit="1" customWidth="1"/>
    <col min="12808" max="12812" width="12.7109375" style="1" customWidth="1"/>
    <col min="12813" max="13057" width="16.5703125" style="1"/>
    <col min="13058" max="13058" width="16.5703125" style="1" customWidth="1"/>
    <col min="13059" max="13062" width="12.7109375" style="1" customWidth="1"/>
    <col min="13063" max="13063" width="6.5703125" style="1" bestFit="1" customWidth="1"/>
    <col min="13064" max="13068" width="12.7109375" style="1" customWidth="1"/>
    <col min="13069" max="13313" width="16.5703125" style="1"/>
    <col min="13314" max="13314" width="16.5703125" style="1" customWidth="1"/>
    <col min="13315" max="13318" width="12.7109375" style="1" customWidth="1"/>
    <col min="13319" max="13319" width="6.5703125" style="1" bestFit="1" customWidth="1"/>
    <col min="13320" max="13324" width="12.7109375" style="1" customWidth="1"/>
    <col min="13325" max="13569" width="16.5703125" style="1"/>
    <col min="13570" max="13570" width="16.5703125" style="1" customWidth="1"/>
    <col min="13571" max="13574" width="12.7109375" style="1" customWidth="1"/>
    <col min="13575" max="13575" width="6.5703125" style="1" bestFit="1" customWidth="1"/>
    <col min="13576" max="13580" width="12.7109375" style="1" customWidth="1"/>
    <col min="13581" max="13825" width="16.5703125" style="1"/>
    <col min="13826" max="13826" width="16.5703125" style="1" customWidth="1"/>
    <col min="13827" max="13830" width="12.7109375" style="1" customWidth="1"/>
    <col min="13831" max="13831" width="6.5703125" style="1" bestFit="1" customWidth="1"/>
    <col min="13832" max="13836" width="12.7109375" style="1" customWidth="1"/>
    <col min="13837" max="14081" width="16.5703125" style="1"/>
    <col min="14082" max="14082" width="16.5703125" style="1" customWidth="1"/>
    <col min="14083" max="14086" width="12.7109375" style="1" customWidth="1"/>
    <col min="14087" max="14087" width="6.5703125" style="1" bestFit="1" customWidth="1"/>
    <col min="14088" max="14092" width="12.7109375" style="1" customWidth="1"/>
    <col min="14093" max="14337" width="16.5703125" style="1"/>
    <col min="14338" max="14338" width="16.5703125" style="1" customWidth="1"/>
    <col min="14339" max="14342" width="12.7109375" style="1" customWidth="1"/>
    <col min="14343" max="14343" width="6.5703125" style="1" bestFit="1" customWidth="1"/>
    <col min="14344" max="14348" width="12.7109375" style="1" customWidth="1"/>
    <col min="14349" max="14593" width="16.5703125" style="1"/>
    <col min="14594" max="14594" width="16.5703125" style="1" customWidth="1"/>
    <col min="14595" max="14598" width="12.7109375" style="1" customWidth="1"/>
    <col min="14599" max="14599" width="6.5703125" style="1" bestFit="1" customWidth="1"/>
    <col min="14600" max="14604" width="12.7109375" style="1" customWidth="1"/>
    <col min="14605" max="14849" width="16.5703125" style="1"/>
    <col min="14850" max="14850" width="16.5703125" style="1" customWidth="1"/>
    <col min="14851" max="14854" width="12.7109375" style="1" customWidth="1"/>
    <col min="14855" max="14855" width="6.5703125" style="1" bestFit="1" customWidth="1"/>
    <col min="14856" max="14860" width="12.7109375" style="1" customWidth="1"/>
    <col min="14861" max="15105" width="16.5703125" style="1"/>
    <col min="15106" max="15106" width="16.5703125" style="1" customWidth="1"/>
    <col min="15107" max="15110" width="12.7109375" style="1" customWidth="1"/>
    <col min="15111" max="15111" width="6.5703125" style="1" bestFit="1" customWidth="1"/>
    <col min="15112" max="15116" width="12.7109375" style="1" customWidth="1"/>
    <col min="15117" max="15361" width="16.5703125" style="1"/>
    <col min="15362" max="15362" width="16.5703125" style="1" customWidth="1"/>
    <col min="15363" max="15366" width="12.7109375" style="1" customWidth="1"/>
    <col min="15367" max="15367" width="6.5703125" style="1" bestFit="1" customWidth="1"/>
    <col min="15368" max="15372" width="12.7109375" style="1" customWidth="1"/>
    <col min="15373" max="15617" width="16.5703125" style="1"/>
    <col min="15618" max="15618" width="16.5703125" style="1" customWidth="1"/>
    <col min="15619" max="15622" width="12.7109375" style="1" customWidth="1"/>
    <col min="15623" max="15623" width="6.5703125" style="1" bestFit="1" customWidth="1"/>
    <col min="15624" max="15628" width="12.7109375" style="1" customWidth="1"/>
    <col min="15629" max="15873" width="16.5703125" style="1"/>
    <col min="15874" max="15874" width="16.5703125" style="1" customWidth="1"/>
    <col min="15875" max="15878" width="12.7109375" style="1" customWidth="1"/>
    <col min="15879" max="15879" width="6.5703125" style="1" bestFit="1" customWidth="1"/>
    <col min="15880" max="15884" width="12.7109375" style="1" customWidth="1"/>
    <col min="15885" max="16129" width="16.5703125" style="1"/>
    <col min="16130" max="16130" width="16.5703125" style="1" customWidth="1"/>
    <col min="16131" max="16134" width="12.7109375" style="1" customWidth="1"/>
    <col min="16135" max="16135" width="6.5703125" style="1" bestFit="1" customWidth="1"/>
    <col min="16136" max="16140" width="12.7109375" style="1" customWidth="1"/>
    <col min="16141" max="16384" width="16.5703125" style="1"/>
  </cols>
  <sheetData>
    <row r="1" spans="1:17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182"/>
      <c r="O1" s="186"/>
    </row>
    <row r="2" spans="1:17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86"/>
    </row>
    <row r="3" spans="1:17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182"/>
      <c r="O3" s="186"/>
    </row>
    <row r="4" spans="1:17" x14ac:dyDescent="0.25">
      <c r="A4" s="3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O4" s="186"/>
    </row>
    <row r="5" spans="1:17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  <c r="O5" s="186"/>
    </row>
    <row r="6" spans="1:17" x14ac:dyDescent="0.25">
      <c r="A6" s="334" t="s">
        <v>54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O6" s="186"/>
    </row>
    <row r="7" spans="1:17" x14ac:dyDescent="0.25">
      <c r="A7" s="334" t="s">
        <v>61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O7" s="186"/>
    </row>
    <row r="8" spans="1:17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  <c r="O8" s="186"/>
    </row>
    <row r="9" spans="1:17" s="17" customForma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30"/>
      <c r="N9" s="166"/>
      <c r="O9" s="187"/>
      <c r="P9" s="142"/>
      <c r="Q9" s="142"/>
    </row>
    <row r="10" spans="1:17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M10" s="30"/>
      <c r="O10" s="186"/>
    </row>
    <row r="11" spans="1:17" s="17" customFormat="1" x14ac:dyDescent="0.25">
      <c r="A11" s="139" t="s">
        <v>18</v>
      </c>
      <c r="B11" s="14">
        <v>14556397.630000001</v>
      </c>
      <c r="C11" s="14">
        <v>4155519.1</v>
      </c>
      <c r="D11" s="11">
        <v>0</v>
      </c>
      <c r="E11" s="14">
        <v>2402813.92</v>
      </c>
      <c r="F11" s="14">
        <f>+E11/C11</f>
        <v>0.57822232606270529</v>
      </c>
      <c r="G11" s="14">
        <f t="shared" ref="G11:G22" si="0">+C11+D11-E11</f>
        <v>1752705.1800000002</v>
      </c>
      <c r="H11" s="11">
        <f>46338.22+667674.12</f>
        <v>714012.34</v>
      </c>
      <c r="I11" s="14">
        <f>1071266.76+36155</f>
        <v>1107421.76</v>
      </c>
      <c r="J11" s="14">
        <f>7553+61175.92</f>
        <v>68728.92</v>
      </c>
      <c r="K11" s="14">
        <f>H11+I11-J11</f>
        <v>1752705.1800000002</v>
      </c>
      <c r="L11" s="15">
        <f>+F11</f>
        <v>0.57822232606270529</v>
      </c>
      <c r="M11" s="163"/>
      <c r="N11" s="62">
        <f>+K11-G11</f>
        <v>0</v>
      </c>
      <c r="O11" s="114">
        <f>+N11+N12</f>
        <v>0</v>
      </c>
      <c r="P11" s="153"/>
      <c r="Q11" s="142"/>
    </row>
    <row r="12" spans="1:17" x14ac:dyDescent="0.2">
      <c r="A12" s="139" t="s">
        <v>20</v>
      </c>
      <c r="B12" s="14">
        <v>25163492</v>
      </c>
      <c r="C12" s="11">
        <v>6190667.0599999996</v>
      </c>
      <c r="D12" s="11">
        <v>0</v>
      </c>
      <c r="E12" s="14">
        <v>5667904.7199999997</v>
      </c>
      <c r="F12" s="14">
        <f t="shared" ref="F12:F17" si="1">+E12/C12</f>
        <v>0.91555637947681845</v>
      </c>
      <c r="G12" s="14">
        <f t="shared" si="0"/>
        <v>522762.33999999985</v>
      </c>
      <c r="H12" s="11">
        <f>645883.52+30000</f>
        <v>675883.52000000002</v>
      </c>
      <c r="I12" s="14">
        <f>133616.02+44204.8</f>
        <v>177820.82</v>
      </c>
      <c r="J12" s="14">
        <f>397838+2000-68896</f>
        <v>330942</v>
      </c>
      <c r="K12" s="14">
        <f t="shared" ref="K12:K20" si="2">H12+I12-J12</f>
        <v>522762.34000000008</v>
      </c>
      <c r="L12" s="15">
        <f t="shared" ref="L12:L22" si="3">+F12</f>
        <v>0.91555637947681845</v>
      </c>
      <c r="M12" s="163"/>
      <c r="N12" s="62">
        <f>+K12-G12</f>
        <v>0</v>
      </c>
      <c r="O12" s="189"/>
      <c r="P12" s="151"/>
    </row>
    <row r="13" spans="1:17" x14ac:dyDescent="0.2">
      <c r="A13" s="139" t="s">
        <v>21</v>
      </c>
      <c r="B13" s="14">
        <v>185773</v>
      </c>
      <c r="C13" s="11">
        <v>115661.78</v>
      </c>
      <c r="D13" s="11">
        <v>0</v>
      </c>
      <c r="E13" s="11">
        <v>0</v>
      </c>
      <c r="F13" s="14">
        <f t="shared" si="1"/>
        <v>0</v>
      </c>
      <c r="G13" s="14">
        <f t="shared" si="0"/>
        <v>115661.78</v>
      </c>
      <c r="H13" s="11">
        <v>115671.78</v>
      </c>
      <c r="I13" s="14">
        <v>0</v>
      </c>
      <c r="J13" s="14">
        <v>10</v>
      </c>
      <c r="K13" s="14">
        <f t="shared" si="2"/>
        <v>115661.78</v>
      </c>
      <c r="L13" s="15">
        <f t="shared" si="3"/>
        <v>0</v>
      </c>
      <c r="M13" s="163"/>
      <c r="N13" s="62">
        <f>+K13-G13</f>
        <v>0</v>
      </c>
      <c r="O13" s="190"/>
    </row>
    <row r="14" spans="1:17" x14ac:dyDescent="0.2">
      <c r="A14" s="139" t="s">
        <v>22</v>
      </c>
      <c r="B14" s="14">
        <v>388669</v>
      </c>
      <c r="C14" s="11">
        <v>181687.22</v>
      </c>
      <c r="D14" s="11">
        <v>0</v>
      </c>
      <c r="E14" s="11">
        <v>0</v>
      </c>
      <c r="F14" s="14">
        <f t="shared" si="1"/>
        <v>0</v>
      </c>
      <c r="G14" s="14">
        <f t="shared" si="0"/>
        <v>181687.22</v>
      </c>
      <c r="H14" s="11">
        <v>181697.22</v>
      </c>
      <c r="I14" s="14">
        <v>0</v>
      </c>
      <c r="J14" s="14">
        <v>10</v>
      </c>
      <c r="K14" s="14">
        <f t="shared" si="2"/>
        <v>181687.22</v>
      </c>
      <c r="L14" s="15">
        <f t="shared" si="3"/>
        <v>0</v>
      </c>
      <c r="M14" s="163"/>
      <c r="N14" s="62">
        <f>+K14-G14</f>
        <v>0</v>
      </c>
      <c r="O14" s="190"/>
    </row>
    <row r="15" spans="1:17" x14ac:dyDescent="0.2">
      <c r="A15" s="139" t="s">
        <v>23</v>
      </c>
      <c r="B15" s="14">
        <v>1307315</v>
      </c>
      <c r="C15" s="11">
        <v>344801.8</v>
      </c>
      <c r="D15" s="11">
        <v>0</v>
      </c>
      <c r="E15" s="11">
        <v>121900.29</v>
      </c>
      <c r="F15" s="14">
        <f t="shared" si="1"/>
        <v>0.35353727851768757</v>
      </c>
      <c r="G15" s="14">
        <f t="shared" si="0"/>
        <v>222901.51</v>
      </c>
      <c r="H15" s="11">
        <v>222911.51</v>
      </c>
      <c r="I15" s="14">
        <v>0</v>
      </c>
      <c r="J15" s="14">
        <v>10</v>
      </c>
      <c r="K15" s="14">
        <f t="shared" si="2"/>
        <v>222901.51</v>
      </c>
      <c r="L15" s="15">
        <f t="shared" si="3"/>
        <v>0.35353727851768757</v>
      </c>
      <c r="M15" s="163"/>
      <c r="N15" s="62">
        <f t="shared" ref="N15:N20" si="4">+K15-G15</f>
        <v>0</v>
      </c>
      <c r="O15" s="190"/>
    </row>
    <row r="16" spans="1:17" x14ac:dyDescent="0.2">
      <c r="A16" s="139" t="s">
        <v>24</v>
      </c>
      <c r="B16" s="14">
        <v>14002815</v>
      </c>
      <c r="C16" s="11">
        <v>3760396.57</v>
      </c>
      <c r="D16" s="11">
        <v>0</v>
      </c>
      <c r="E16" s="14">
        <v>2972363.7</v>
      </c>
      <c r="F16" s="14">
        <f t="shared" si="1"/>
        <v>0.79043889245968557</v>
      </c>
      <c r="G16" s="14">
        <f t="shared" si="0"/>
        <v>788032.86999999965</v>
      </c>
      <c r="H16" s="11">
        <v>1796571.87</v>
      </c>
      <c r="I16" s="14">
        <v>12750</v>
      </c>
      <c r="J16" s="14">
        <f>172672+2000+846617</f>
        <v>1021289</v>
      </c>
      <c r="K16" s="14">
        <f t="shared" si="2"/>
        <v>788032.87000000011</v>
      </c>
      <c r="L16" s="15">
        <f t="shared" si="3"/>
        <v>0.79043889245968557</v>
      </c>
      <c r="M16" s="163"/>
      <c r="N16" s="62">
        <f t="shared" si="4"/>
        <v>0</v>
      </c>
      <c r="O16" s="190"/>
      <c r="P16" s="151"/>
    </row>
    <row r="17" spans="1:19" x14ac:dyDescent="0.2">
      <c r="A17" s="139" t="s">
        <v>25</v>
      </c>
      <c r="B17" s="14">
        <v>463393</v>
      </c>
      <c r="C17" s="11">
        <v>257663.71</v>
      </c>
      <c r="D17" s="11">
        <v>0</v>
      </c>
      <c r="E17" s="14">
        <v>48916</v>
      </c>
      <c r="F17" s="14">
        <f t="shared" si="1"/>
        <v>0.18984435177153974</v>
      </c>
      <c r="G17" s="14">
        <f t="shared" si="0"/>
        <v>208747.71</v>
      </c>
      <c r="H17" s="11">
        <v>161778.84</v>
      </c>
      <c r="I17" s="14">
        <v>46968.87</v>
      </c>
      <c r="J17" s="14">
        <v>0</v>
      </c>
      <c r="K17" s="14">
        <f t="shared" si="2"/>
        <v>208747.71</v>
      </c>
      <c r="L17" s="15">
        <f t="shared" si="3"/>
        <v>0.18984435177153974</v>
      </c>
      <c r="M17" s="163"/>
      <c r="N17" s="62">
        <f t="shared" si="4"/>
        <v>0</v>
      </c>
      <c r="O17" s="190"/>
    </row>
    <row r="18" spans="1:19" x14ac:dyDescent="0.2">
      <c r="A18" s="139" t="s">
        <v>53</v>
      </c>
      <c r="B18" s="14">
        <v>0</v>
      </c>
      <c r="C18" s="11">
        <v>245366.02</v>
      </c>
      <c r="D18" s="11">
        <v>0</v>
      </c>
      <c r="E18" s="11">
        <v>0</v>
      </c>
      <c r="F18" s="14">
        <v>0</v>
      </c>
      <c r="G18" s="14">
        <f t="shared" si="0"/>
        <v>245366.02</v>
      </c>
      <c r="H18" s="11">
        <v>245366.02</v>
      </c>
      <c r="I18" s="14">
        <v>0</v>
      </c>
      <c r="J18" s="14">
        <v>0</v>
      </c>
      <c r="K18" s="14">
        <f t="shared" si="2"/>
        <v>245366.02</v>
      </c>
      <c r="L18" s="15">
        <f t="shared" si="3"/>
        <v>0</v>
      </c>
      <c r="M18" s="163"/>
      <c r="N18" s="62">
        <f t="shared" si="4"/>
        <v>0</v>
      </c>
      <c r="O18" s="190"/>
    </row>
    <row r="19" spans="1:19" x14ac:dyDescent="0.2">
      <c r="A19" s="139" t="s">
        <v>27</v>
      </c>
      <c r="B19" s="14">
        <v>0</v>
      </c>
      <c r="C19" s="11">
        <v>0</v>
      </c>
      <c r="D19" s="11">
        <v>0</v>
      </c>
      <c r="E19" s="11">
        <v>0</v>
      </c>
      <c r="F19" s="14">
        <v>0</v>
      </c>
      <c r="G19" s="14">
        <f t="shared" si="0"/>
        <v>0</v>
      </c>
      <c r="H19" s="11">
        <v>0</v>
      </c>
      <c r="I19" s="14">
        <v>0</v>
      </c>
      <c r="J19" s="14">
        <v>0</v>
      </c>
      <c r="K19" s="14">
        <f t="shared" si="2"/>
        <v>0</v>
      </c>
      <c r="L19" s="15">
        <f t="shared" si="3"/>
        <v>0</v>
      </c>
      <c r="M19" s="163"/>
      <c r="N19" s="62">
        <f t="shared" si="4"/>
        <v>0</v>
      </c>
      <c r="O19" s="190"/>
    </row>
    <row r="20" spans="1:19" x14ac:dyDescent="0.2">
      <c r="A20" s="139" t="s">
        <v>28</v>
      </c>
      <c r="B20" s="14">
        <v>47686</v>
      </c>
      <c r="C20" s="11">
        <v>15002.64</v>
      </c>
      <c r="D20" s="11">
        <v>0</v>
      </c>
      <c r="E20" s="11">
        <v>0</v>
      </c>
      <c r="F20" s="14">
        <v>0</v>
      </c>
      <c r="G20" s="14">
        <f t="shared" si="0"/>
        <v>15002.64</v>
      </c>
      <c r="H20" s="11">
        <v>15002.64</v>
      </c>
      <c r="I20" s="14">
        <v>0</v>
      </c>
      <c r="J20" s="14">
        <v>0</v>
      </c>
      <c r="K20" s="14">
        <f t="shared" si="2"/>
        <v>15002.64</v>
      </c>
      <c r="L20" s="15">
        <f t="shared" si="3"/>
        <v>0</v>
      </c>
      <c r="M20" s="163"/>
      <c r="N20" s="62">
        <f t="shared" si="4"/>
        <v>0</v>
      </c>
      <c r="O20" s="152"/>
    </row>
    <row r="21" spans="1:19" x14ac:dyDescent="0.2">
      <c r="A21" s="139" t="s">
        <v>29</v>
      </c>
      <c r="B21" s="14">
        <v>27972730</v>
      </c>
      <c r="C21" s="11">
        <v>11743224</v>
      </c>
      <c r="D21" s="11">
        <v>0</v>
      </c>
      <c r="E21" s="11">
        <v>0</v>
      </c>
      <c r="F21" s="14">
        <f>+E21/C21</f>
        <v>0</v>
      </c>
      <c r="G21" s="14">
        <f t="shared" si="0"/>
        <v>11743224</v>
      </c>
      <c r="H21" s="11">
        <v>11743224</v>
      </c>
      <c r="I21" s="14">
        <v>0</v>
      </c>
      <c r="J21" s="14">
        <v>0</v>
      </c>
      <c r="K21" s="14">
        <f>H21+I21-J21</f>
        <v>11743224</v>
      </c>
      <c r="L21" s="15">
        <f t="shared" si="3"/>
        <v>0</v>
      </c>
      <c r="M21" s="163"/>
      <c r="N21" s="62">
        <f>+K21-G21</f>
        <v>0</v>
      </c>
      <c r="O21" s="152"/>
    </row>
    <row r="22" spans="1:19" x14ac:dyDescent="0.2">
      <c r="A22" s="139" t="s">
        <v>30</v>
      </c>
      <c r="B22" s="14">
        <v>21170980</v>
      </c>
      <c r="C22" s="11">
        <v>5766773.9100000001</v>
      </c>
      <c r="D22" s="11">
        <v>0</v>
      </c>
      <c r="E22" s="14">
        <v>4493986.34</v>
      </c>
      <c r="F22" s="14">
        <f>+E22/C22</f>
        <v>0.77928949706301209</v>
      </c>
      <c r="G22" s="14">
        <f t="shared" si="0"/>
        <v>1272787.5700000003</v>
      </c>
      <c r="H22" s="11">
        <v>2312170.5</v>
      </c>
      <c r="I22" s="14">
        <f>13943.78+26170</f>
        <v>40113.78</v>
      </c>
      <c r="J22" s="14">
        <f>55555+1023941.71</f>
        <v>1079496.71</v>
      </c>
      <c r="K22" s="14">
        <f>H22+I22-J22</f>
        <v>1272787.5699999998</v>
      </c>
      <c r="L22" s="15">
        <f t="shared" si="3"/>
        <v>0.77928949706301209</v>
      </c>
      <c r="M22" s="163"/>
      <c r="N22" s="107">
        <f>+K22-G22</f>
        <v>0</v>
      </c>
      <c r="O22" s="157"/>
      <c r="R22" s="141"/>
      <c r="S22" s="144"/>
    </row>
    <row r="23" spans="1:19" s="5" customFormat="1" x14ac:dyDescent="0.2">
      <c r="A23" s="20" t="s">
        <v>60</v>
      </c>
      <c r="B23" s="21">
        <f t="shared" ref="B23:K23" si="5">SUM(B11:B22)</f>
        <v>105259250.63</v>
      </c>
      <c r="C23" s="21">
        <f t="shared" si="5"/>
        <v>32776763.810000002</v>
      </c>
      <c r="D23" s="21">
        <f t="shared" si="5"/>
        <v>0</v>
      </c>
      <c r="E23" s="21">
        <f t="shared" si="5"/>
        <v>15707884.969999999</v>
      </c>
      <c r="F23" s="21">
        <f t="shared" si="5"/>
        <v>3.6068887253514488</v>
      </c>
      <c r="G23" s="21">
        <f t="shared" si="5"/>
        <v>17068878.84</v>
      </c>
      <c r="H23" s="21">
        <f t="shared" si="5"/>
        <v>18184290.240000002</v>
      </c>
      <c r="I23" s="21">
        <f t="shared" si="5"/>
        <v>1385075.2300000002</v>
      </c>
      <c r="J23" s="21">
        <f t="shared" si="5"/>
        <v>2500486.63</v>
      </c>
      <c r="K23" s="21">
        <f t="shared" si="5"/>
        <v>17068878.84</v>
      </c>
      <c r="L23" s="23"/>
      <c r="M23" s="164"/>
      <c r="N23" s="118"/>
      <c r="O23" s="203"/>
      <c r="P23" s="143"/>
      <c r="Q23" s="143"/>
    </row>
    <row r="24" spans="1:19" s="17" customFormat="1" x14ac:dyDescent="0.25">
      <c r="A24" s="139" t="s">
        <v>18</v>
      </c>
      <c r="B24" s="10">
        <v>9668787.5</v>
      </c>
      <c r="C24" s="10">
        <f>+B24-8808992.11</f>
        <v>859795.3900000006</v>
      </c>
      <c r="D24" s="11">
        <v>0</v>
      </c>
      <c r="E24" s="10">
        <v>0</v>
      </c>
      <c r="F24" s="12">
        <f>+E24/C24</f>
        <v>0</v>
      </c>
      <c r="G24" s="109">
        <f t="shared" ref="G24:G37" si="6">+C24+D24-E24</f>
        <v>859795.3900000006</v>
      </c>
      <c r="H24" s="11">
        <v>807606.49</v>
      </c>
      <c r="I24" s="14">
        <f>200750.7+49054.32+10000+17400</f>
        <v>277205.02</v>
      </c>
      <c r="J24" s="14">
        <f>42293+3275.91+3277.52+176169.69</f>
        <v>225016.12</v>
      </c>
      <c r="K24" s="14">
        <f>H24+I24-J24</f>
        <v>859795.39</v>
      </c>
      <c r="L24" s="15">
        <f>+F24</f>
        <v>0</v>
      </c>
      <c r="M24" s="163"/>
      <c r="N24" s="62">
        <f t="shared" ref="N24:N37" si="7">+K24-G24</f>
        <v>0</v>
      </c>
      <c r="O24" s="188">
        <f>+N24+N25</f>
        <v>-1.1641532182693481E-10</v>
      </c>
      <c r="P24" s="153"/>
      <c r="Q24" s="142"/>
    </row>
    <row r="25" spans="1:19" x14ac:dyDescent="0.2">
      <c r="A25" s="139" t="s">
        <v>20</v>
      </c>
      <c r="B25" s="10">
        <v>27138333.23</v>
      </c>
      <c r="C25" s="10">
        <f>+B25-26415966.23</f>
        <v>722367</v>
      </c>
      <c r="D25" s="11">
        <v>0</v>
      </c>
      <c r="E25" s="10">
        <v>827988.6</v>
      </c>
      <c r="F25" s="12">
        <f t="shared" ref="F25:F30" si="8">+E25/C25</f>
        <v>1.1462159816270676</v>
      </c>
      <c r="G25" s="10">
        <f t="shared" si="6"/>
        <v>-105621.59999999998</v>
      </c>
      <c r="H25" s="13">
        <v>1247074.73</v>
      </c>
      <c r="I25" s="14">
        <f>171846+1000</f>
        <v>172846</v>
      </c>
      <c r="J25" s="14">
        <f>1307677+16708.93+21550.06+179606.34</f>
        <v>1525542.33</v>
      </c>
      <c r="K25" s="14">
        <f t="shared" ref="K25:K32" si="9">H25+I25-J25</f>
        <v>-105621.60000000009</v>
      </c>
      <c r="L25" s="15">
        <f t="shared" ref="L25:L37" si="10">+F25</f>
        <v>1.1462159816270676</v>
      </c>
      <c r="M25" s="163"/>
      <c r="N25" s="62">
        <f t="shared" si="7"/>
        <v>-1.1641532182693481E-10</v>
      </c>
      <c r="O25" s="184"/>
      <c r="P25" s="151"/>
    </row>
    <row r="26" spans="1:19" x14ac:dyDescent="0.2">
      <c r="A26" s="139" t="s">
        <v>21</v>
      </c>
      <c r="B26" s="10">
        <v>321506.03999999998</v>
      </c>
      <c r="C26" s="10">
        <f>+B26-280892.37</f>
        <v>40613.669999999984</v>
      </c>
      <c r="D26" s="11">
        <v>0</v>
      </c>
      <c r="E26" s="11">
        <v>40613.67</v>
      </c>
      <c r="F26" s="12">
        <f t="shared" si="8"/>
        <v>1.0000000000000004</v>
      </c>
      <c r="G26" s="109">
        <f t="shared" si="6"/>
        <v>0</v>
      </c>
      <c r="H26" s="13">
        <v>0</v>
      </c>
      <c r="I26" s="14">
        <v>0</v>
      </c>
      <c r="J26" s="14">
        <v>0</v>
      </c>
      <c r="K26" s="14">
        <f t="shared" si="9"/>
        <v>0</v>
      </c>
      <c r="L26" s="15">
        <f t="shared" si="10"/>
        <v>1.0000000000000004</v>
      </c>
      <c r="M26" s="163"/>
      <c r="N26" s="62">
        <f t="shared" si="7"/>
        <v>0</v>
      </c>
      <c r="O26" s="183"/>
    </row>
    <row r="27" spans="1:19" x14ac:dyDescent="0.2">
      <c r="A27" s="139" t="s">
        <v>22</v>
      </c>
      <c r="B27" s="10">
        <v>570803.89</v>
      </c>
      <c r="C27" s="10">
        <f>+B27-491970.23</f>
        <v>78833.660000000033</v>
      </c>
      <c r="D27" s="11">
        <v>0</v>
      </c>
      <c r="E27" s="11">
        <v>78833.66</v>
      </c>
      <c r="F27" s="12">
        <f t="shared" si="8"/>
        <v>0.99999999999999967</v>
      </c>
      <c r="G27" s="109">
        <f t="shared" si="6"/>
        <v>0</v>
      </c>
      <c r="H27" s="13">
        <v>0</v>
      </c>
      <c r="I27" s="14">
        <v>0</v>
      </c>
      <c r="J27" s="14">
        <v>0</v>
      </c>
      <c r="K27" s="14">
        <f t="shared" si="9"/>
        <v>0</v>
      </c>
      <c r="L27" s="15">
        <f t="shared" si="10"/>
        <v>0.99999999999999967</v>
      </c>
      <c r="M27" s="163"/>
      <c r="N27" s="62">
        <f t="shared" si="7"/>
        <v>0</v>
      </c>
      <c r="O27" s="183"/>
    </row>
    <row r="28" spans="1:19" x14ac:dyDescent="0.2">
      <c r="A28" s="139" t="s">
        <v>23</v>
      </c>
      <c r="B28" s="10">
        <v>1307693.44</v>
      </c>
      <c r="C28" s="10">
        <f>+B28-1273287.15</f>
        <v>34406.290000000037</v>
      </c>
      <c r="D28" s="11">
        <v>0</v>
      </c>
      <c r="E28" s="11">
        <v>34406.29</v>
      </c>
      <c r="F28" s="12">
        <f t="shared" si="8"/>
        <v>0.99999999999999889</v>
      </c>
      <c r="G28" s="109">
        <f t="shared" si="6"/>
        <v>0</v>
      </c>
      <c r="H28" s="13">
        <v>0</v>
      </c>
      <c r="I28" s="14">
        <v>0</v>
      </c>
      <c r="J28" s="14">
        <v>0</v>
      </c>
      <c r="K28" s="14">
        <f t="shared" si="9"/>
        <v>0</v>
      </c>
      <c r="L28" s="15">
        <f t="shared" si="10"/>
        <v>0.99999999999999889</v>
      </c>
      <c r="M28" s="163"/>
      <c r="N28" s="62">
        <f t="shared" si="7"/>
        <v>0</v>
      </c>
      <c r="O28" s="183"/>
    </row>
    <row r="29" spans="1:19" x14ac:dyDescent="0.2">
      <c r="A29" s="139" t="s">
        <v>24</v>
      </c>
      <c r="B29" s="10">
        <v>14234360.859999999</v>
      </c>
      <c r="C29" s="10">
        <f>+B29-14197791.76</f>
        <v>36569.099999999627</v>
      </c>
      <c r="D29" s="11">
        <v>0</v>
      </c>
      <c r="E29" s="10">
        <v>208.8</v>
      </c>
      <c r="F29" s="12">
        <f t="shared" si="8"/>
        <v>5.7097385497592813E-3</v>
      </c>
      <c r="G29" s="109">
        <f t="shared" si="6"/>
        <v>36360.299999999625</v>
      </c>
      <c r="H29" s="13">
        <v>-340080.7</v>
      </c>
      <c r="I29" s="14">
        <v>782752</v>
      </c>
      <c r="J29" s="14">
        <f>280823+125488</f>
        <v>406311</v>
      </c>
      <c r="K29" s="14">
        <f t="shared" si="9"/>
        <v>36360.299999999988</v>
      </c>
      <c r="L29" s="15">
        <f t="shared" si="10"/>
        <v>5.7097385497592813E-3</v>
      </c>
      <c r="M29" s="163"/>
      <c r="N29" s="62">
        <f t="shared" si="7"/>
        <v>3.637978807091713E-10</v>
      </c>
      <c r="O29" s="183"/>
      <c r="P29" s="151">
        <f>+N24-N34</f>
        <v>4.6566128730773926E-10</v>
      </c>
    </row>
    <row r="30" spans="1:19" x14ac:dyDescent="0.2">
      <c r="A30" s="139" t="s">
        <v>25</v>
      </c>
      <c r="B30" s="10">
        <v>658261.61</v>
      </c>
      <c r="C30" s="10">
        <f>+B30-367499.68</f>
        <v>290761.93</v>
      </c>
      <c r="D30" s="11">
        <v>0</v>
      </c>
      <c r="E30" s="10">
        <v>281389.86</v>
      </c>
      <c r="F30" s="12">
        <f t="shared" si="8"/>
        <v>0.96776720391146109</v>
      </c>
      <c r="G30" s="109">
        <f t="shared" si="6"/>
        <v>9372.070000000007</v>
      </c>
      <c r="H30" s="13">
        <v>56340.94</v>
      </c>
      <c r="I30" s="14">
        <v>0</v>
      </c>
      <c r="J30" s="14">
        <v>46968.87</v>
      </c>
      <c r="K30" s="14">
        <f t="shared" si="9"/>
        <v>9372.07</v>
      </c>
      <c r="L30" s="15">
        <f t="shared" si="10"/>
        <v>0.96776720391146109</v>
      </c>
      <c r="M30" s="163"/>
      <c r="N30" s="62">
        <f t="shared" si="7"/>
        <v>0</v>
      </c>
      <c r="O30" s="183"/>
    </row>
    <row r="31" spans="1:19" x14ac:dyDescent="0.2">
      <c r="A31" s="139" t="s">
        <v>53</v>
      </c>
      <c r="B31" s="10">
        <v>158979.12</v>
      </c>
      <c r="C31" s="10">
        <f>+B31</f>
        <v>158979.12</v>
      </c>
      <c r="D31" s="11">
        <v>0</v>
      </c>
      <c r="E31" s="11">
        <v>120000</v>
      </c>
      <c r="F31" s="12">
        <v>0</v>
      </c>
      <c r="G31" s="201">
        <f t="shared" si="6"/>
        <v>38979.119999999995</v>
      </c>
      <c r="H31" s="11">
        <v>43979.12</v>
      </c>
      <c r="I31" s="14">
        <v>0</v>
      </c>
      <c r="J31" s="14">
        <v>5000</v>
      </c>
      <c r="K31" s="14">
        <f t="shared" si="9"/>
        <v>38979.120000000003</v>
      </c>
      <c r="L31" s="15">
        <f t="shared" si="10"/>
        <v>0</v>
      </c>
      <c r="M31" s="163"/>
      <c r="N31" s="62">
        <f t="shared" si="7"/>
        <v>0</v>
      </c>
      <c r="O31" s="183"/>
    </row>
    <row r="32" spans="1:19" x14ac:dyDescent="0.2">
      <c r="A32" s="139" t="s">
        <v>28</v>
      </c>
      <c r="B32" s="10">
        <v>47798.07</v>
      </c>
      <c r="C32" s="10">
        <f>+B32-23516.14</f>
        <v>24281.93</v>
      </c>
      <c r="D32" s="11">
        <v>0</v>
      </c>
      <c r="E32" s="11">
        <v>0</v>
      </c>
      <c r="F32" s="12">
        <v>0</v>
      </c>
      <c r="G32" s="201">
        <f t="shared" si="6"/>
        <v>24281.93</v>
      </c>
      <c r="H32" s="11">
        <v>24281.93</v>
      </c>
      <c r="I32" s="14">
        <v>0</v>
      </c>
      <c r="J32" s="14">
        <v>0</v>
      </c>
      <c r="K32" s="14">
        <f t="shared" si="9"/>
        <v>24281.93</v>
      </c>
      <c r="L32" s="15">
        <f t="shared" si="10"/>
        <v>0</v>
      </c>
      <c r="M32" s="163"/>
      <c r="N32" s="62">
        <f t="shared" si="7"/>
        <v>0</v>
      </c>
      <c r="O32" s="152"/>
    </row>
    <row r="33" spans="1:19" x14ac:dyDescent="0.2">
      <c r="A33" s="139" t="s">
        <v>29</v>
      </c>
      <c r="B33" s="10">
        <v>27972730</v>
      </c>
      <c r="C33" s="10">
        <f>+B33-27809818.06</f>
        <v>162911.94000000134</v>
      </c>
      <c r="D33" s="11">
        <v>186451.15</v>
      </c>
      <c r="E33" s="11">
        <v>0</v>
      </c>
      <c r="F33" s="12">
        <f>+E33/C33</f>
        <v>0</v>
      </c>
      <c r="G33" s="109">
        <f t="shared" si="6"/>
        <v>349363.09000000136</v>
      </c>
      <c r="H33" s="13">
        <v>656033.13</v>
      </c>
      <c r="I33" s="14">
        <f>-1</f>
        <v>-1</v>
      </c>
      <c r="J33" s="14">
        <f>219666.96+67322.53+19679.55</f>
        <v>306669.03999999998</v>
      </c>
      <c r="K33" s="14">
        <f>H33+I33-J33</f>
        <v>349363.09</v>
      </c>
      <c r="L33" s="15">
        <f t="shared" si="10"/>
        <v>0</v>
      </c>
      <c r="M33" s="163"/>
      <c r="N33" s="62">
        <f t="shared" si="7"/>
        <v>-1.3387762010097504E-9</v>
      </c>
      <c r="O33" s="184"/>
    </row>
    <row r="34" spans="1:19" x14ac:dyDescent="0.2">
      <c r="A34" s="139" t="s">
        <v>30</v>
      </c>
      <c r="B34" s="10">
        <v>21170988.52</v>
      </c>
      <c r="C34" s="10">
        <f>+B34-21163370.79</f>
        <v>7617.730000000447</v>
      </c>
      <c r="D34" s="11">
        <v>0</v>
      </c>
      <c r="E34" s="10">
        <v>0</v>
      </c>
      <c r="F34" s="12">
        <f>+E34/C34</f>
        <v>0</v>
      </c>
      <c r="G34" s="109">
        <f t="shared" si="6"/>
        <v>7617.730000000447</v>
      </c>
      <c r="H34" s="13">
        <v>113156.96</v>
      </c>
      <c r="I34" s="14">
        <f>63664.06+25043.71</f>
        <v>88707.76999999999</v>
      </c>
      <c r="J34" s="14">
        <f>170257+6000+17990</f>
        <v>194247</v>
      </c>
      <c r="K34" s="14">
        <f>H34+I34-J34</f>
        <v>7617.7299999999814</v>
      </c>
      <c r="L34" s="15">
        <f t="shared" si="10"/>
        <v>0</v>
      </c>
      <c r="M34" s="163"/>
      <c r="N34" s="107">
        <f t="shared" si="7"/>
        <v>-4.6566128730773926E-10</v>
      </c>
      <c r="O34" s="185"/>
      <c r="R34" s="141"/>
      <c r="S34" s="144"/>
    </row>
    <row r="35" spans="1:19" ht="27" x14ac:dyDescent="0.2">
      <c r="A35" s="139" t="s">
        <v>56</v>
      </c>
      <c r="B35" s="10">
        <v>1500000</v>
      </c>
      <c r="C35" s="10">
        <f>1500000-1499965.2</f>
        <v>34.800000000046566</v>
      </c>
      <c r="D35" s="11">
        <v>0</v>
      </c>
      <c r="E35" s="10">
        <v>0</v>
      </c>
      <c r="F35" s="12">
        <f>+E35/C35</f>
        <v>0</v>
      </c>
      <c r="G35" s="109">
        <f t="shared" si="6"/>
        <v>34.800000000046566</v>
      </c>
      <c r="H35" s="13">
        <v>34.799999999999997</v>
      </c>
      <c r="I35" s="14">
        <v>0</v>
      </c>
      <c r="J35" s="14">
        <v>0</v>
      </c>
      <c r="K35" s="14">
        <f>H35+I35-J35</f>
        <v>34.799999999999997</v>
      </c>
      <c r="L35" s="15">
        <f t="shared" si="10"/>
        <v>0</v>
      </c>
      <c r="M35" s="163"/>
      <c r="N35" s="107">
        <f t="shared" si="7"/>
        <v>-4.6568970901716966E-11</v>
      </c>
      <c r="O35" s="185"/>
      <c r="R35" s="141"/>
      <c r="S35" s="144"/>
    </row>
    <row r="36" spans="1:19" x14ac:dyDescent="0.2">
      <c r="A36" s="139" t="s">
        <v>58</v>
      </c>
      <c r="B36" s="10">
        <v>8800000</v>
      </c>
      <c r="C36" s="10">
        <f>+B36-8793327.97</f>
        <v>6672.0299999993294</v>
      </c>
      <c r="D36" s="11">
        <v>0</v>
      </c>
      <c r="E36" s="10">
        <v>0</v>
      </c>
      <c r="F36" s="12">
        <f>+E36/C36</f>
        <v>0</v>
      </c>
      <c r="G36" s="109">
        <f t="shared" si="6"/>
        <v>6672.0299999993294</v>
      </c>
      <c r="H36" s="13">
        <v>136749.53</v>
      </c>
      <c r="I36" s="14">
        <v>0</v>
      </c>
      <c r="J36" s="14">
        <f>75804.55+37902.27+11370.68+5000</f>
        <v>130077.5</v>
      </c>
      <c r="K36" s="14">
        <f>H36+I36-J36</f>
        <v>6672.0299999999988</v>
      </c>
      <c r="L36" s="15">
        <f t="shared" si="10"/>
        <v>0</v>
      </c>
      <c r="M36" s="163"/>
      <c r="N36" s="107">
        <f t="shared" si="7"/>
        <v>6.6938810050487518E-10</v>
      </c>
      <c r="O36" s="185"/>
      <c r="R36" s="141"/>
      <c r="S36" s="144"/>
    </row>
    <row r="37" spans="1:19" x14ac:dyDescent="0.2">
      <c r="A37" s="139" t="s">
        <v>57</v>
      </c>
      <c r="B37" s="10">
        <v>3362600</v>
      </c>
      <c r="C37" s="10">
        <f>+B37-3361389.36</f>
        <v>1210.6400000001304</v>
      </c>
      <c r="D37" s="11">
        <v>0</v>
      </c>
      <c r="E37" s="10">
        <v>0</v>
      </c>
      <c r="F37" s="12">
        <f>+E37/C37</f>
        <v>0</v>
      </c>
      <c r="G37" s="109">
        <f t="shared" si="6"/>
        <v>1210.6400000001304</v>
      </c>
      <c r="H37" s="13">
        <v>54023.49</v>
      </c>
      <c r="I37" s="14">
        <v>0</v>
      </c>
      <c r="J37" s="14">
        <f>28977.48+14488.74+4346.63+5000</f>
        <v>52812.85</v>
      </c>
      <c r="K37" s="14">
        <f>H37+I37-J37</f>
        <v>1210.6399999999994</v>
      </c>
      <c r="L37" s="15">
        <f t="shared" si="10"/>
        <v>0</v>
      </c>
      <c r="M37" s="163"/>
      <c r="N37" s="107">
        <f t="shared" si="7"/>
        <v>-1.3096723705530167E-10</v>
      </c>
      <c r="O37" s="185"/>
      <c r="R37" s="141"/>
      <c r="S37" s="144"/>
    </row>
    <row r="38" spans="1:19" s="5" customFormat="1" x14ac:dyDescent="0.2">
      <c r="A38" s="20" t="s">
        <v>51</v>
      </c>
      <c r="B38" s="21">
        <f t="shared" ref="B38:K38" si="11">SUM(B24:B34)</f>
        <v>103250242.27999999</v>
      </c>
      <c r="C38" s="21">
        <f t="shared" si="11"/>
        <v>2417137.7600000021</v>
      </c>
      <c r="D38" s="21">
        <f t="shared" si="11"/>
        <v>186451.15</v>
      </c>
      <c r="E38" s="21">
        <f t="shared" si="11"/>
        <v>1383440.8800000001</v>
      </c>
      <c r="F38" s="21">
        <f t="shared" si="11"/>
        <v>5.1196929240882874</v>
      </c>
      <c r="G38" s="21">
        <f t="shared" si="11"/>
        <v>1220148.0300000021</v>
      </c>
      <c r="H38" s="21">
        <f t="shared" si="11"/>
        <v>2608392.6</v>
      </c>
      <c r="I38" s="21">
        <f t="shared" si="11"/>
        <v>1321509.79</v>
      </c>
      <c r="J38" s="21">
        <f t="shared" si="11"/>
        <v>2709754.3600000003</v>
      </c>
      <c r="K38" s="21">
        <f t="shared" si="11"/>
        <v>1220148.0299999998</v>
      </c>
      <c r="L38" s="23"/>
      <c r="M38" s="164"/>
      <c r="N38" s="61"/>
      <c r="O38" s="203"/>
      <c r="P38" s="143"/>
      <c r="Q38" s="143"/>
    </row>
    <row r="39" spans="1:19" s="17" customFormat="1" x14ac:dyDescent="0.25">
      <c r="A39" s="139" t="s">
        <v>18</v>
      </c>
      <c r="B39" s="10">
        <f>+C39</f>
        <v>557287.6400000006</v>
      </c>
      <c r="C39" s="10">
        <f>9497181.34-8522902.7-416991</f>
        <v>557287.6400000006</v>
      </c>
      <c r="D39" s="11">
        <v>0</v>
      </c>
      <c r="E39" s="10">
        <v>2038.23</v>
      </c>
      <c r="F39" s="12">
        <f>+E39/C39</f>
        <v>3.657411099230548E-3</v>
      </c>
      <c r="G39" s="10">
        <f>+C39+D39-E39</f>
        <v>555249.41000000061</v>
      </c>
      <c r="H39" s="13">
        <f>362224.72-0.47</f>
        <v>362224.25</v>
      </c>
      <c r="I39" s="14">
        <f>22013.2+172259.48</f>
        <v>194272.68000000002</v>
      </c>
      <c r="J39" s="14">
        <f>-4302.52+5550.04</f>
        <v>1247.5199999999995</v>
      </c>
      <c r="K39" s="14">
        <f>H39+I39-J39</f>
        <v>555249.41</v>
      </c>
      <c r="L39" s="15">
        <f>+F39</f>
        <v>3.657411099230548E-3</v>
      </c>
      <c r="M39" s="163"/>
      <c r="N39" s="155">
        <f t="shared" ref="N39:N48" si="12">+K39-G39</f>
        <v>0</v>
      </c>
      <c r="O39" s="202"/>
      <c r="P39" s="142"/>
      <c r="Q39" s="142"/>
    </row>
    <row r="40" spans="1:19" x14ac:dyDescent="0.2">
      <c r="A40" s="139" t="s">
        <v>20</v>
      </c>
      <c r="B40" s="10">
        <v>0</v>
      </c>
      <c r="C40" s="10">
        <f>981063.54-174602.54</f>
        <v>806461</v>
      </c>
      <c r="D40" s="11">
        <v>0</v>
      </c>
      <c r="E40" s="10">
        <v>0</v>
      </c>
      <c r="F40" s="12">
        <f t="shared" ref="F40:F49" si="13">+E40/C40</f>
        <v>0</v>
      </c>
      <c r="G40" s="10">
        <f>+C40+D40-E40</f>
        <v>806461</v>
      </c>
      <c r="H40" s="13">
        <v>1795340.56</v>
      </c>
      <c r="I40" s="14">
        <v>1162</v>
      </c>
      <c r="J40" s="14">
        <f>272555.03+160187.53+557299</f>
        <v>990041.56</v>
      </c>
      <c r="K40" s="14">
        <f t="shared" ref="K40:K65" si="14">H40+I40-J40</f>
        <v>806461</v>
      </c>
      <c r="L40" s="15">
        <f t="shared" ref="L40:L49" si="15">+F40</f>
        <v>0</v>
      </c>
      <c r="M40" s="163"/>
      <c r="N40" s="62">
        <f>+K40-G40</f>
        <v>0</v>
      </c>
      <c r="O40" s="205"/>
    </row>
    <row r="41" spans="1:19" x14ac:dyDescent="0.2">
      <c r="A41" s="139" t="s">
        <v>21</v>
      </c>
      <c r="B41" s="10">
        <f t="shared" ref="B41:B49" si="16">+C41</f>
        <v>465.82999999998719</v>
      </c>
      <c r="C41" s="10">
        <f>266576.99-80893-185218.16</f>
        <v>465.82999999998719</v>
      </c>
      <c r="D41" s="11">
        <v>0</v>
      </c>
      <c r="E41" s="10">
        <v>0</v>
      </c>
      <c r="F41" s="12">
        <f t="shared" si="13"/>
        <v>0</v>
      </c>
      <c r="G41" s="10">
        <f>+C41+D41-E41</f>
        <v>465.82999999998719</v>
      </c>
      <c r="H41" s="13">
        <v>465.83</v>
      </c>
      <c r="I41" s="14">
        <v>0</v>
      </c>
      <c r="J41" s="14">
        <v>0</v>
      </c>
      <c r="K41" s="14">
        <f t="shared" si="14"/>
        <v>465.83</v>
      </c>
      <c r="L41" s="15">
        <f t="shared" si="15"/>
        <v>0</v>
      </c>
      <c r="M41" s="163"/>
      <c r="N41" s="155">
        <f t="shared" si="12"/>
        <v>1.2789769243681803E-11</v>
      </c>
      <c r="O41" s="183"/>
    </row>
    <row r="42" spans="1:19" x14ac:dyDescent="0.2">
      <c r="A42" s="139" t="s">
        <v>22</v>
      </c>
      <c r="B42" s="10">
        <f t="shared" si="16"/>
        <v>6067.4599999999627</v>
      </c>
      <c r="C42" s="10">
        <f>375412.66-201977-167368.2</f>
        <v>6067.4599999999627</v>
      </c>
      <c r="D42" s="10">
        <v>149.51</v>
      </c>
      <c r="E42" s="10">
        <v>0</v>
      </c>
      <c r="F42" s="12">
        <f t="shared" si="13"/>
        <v>0</v>
      </c>
      <c r="G42" s="10">
        <f t="shared" ref="G42:G47" si="17">+C42+D42-E42</f>
        <v>6216.969999999963</v>
      </c>
      <c r="H42" s="13">
        <v>6216.97</v>
      </c>
      <c r="I42" s="14">
        <v>0</v>
      </c>
      <c r="J42" s="14">
        <v>0</v>
      </c>
      <c r="K42" s="14">
        <f t="shared" si="14"/>
        <v>6216.97</v>
      </c>
      <c r="L42" s="15">
        <f t="shared" si="15"/>
        <v>0</v>
      </c>
      <c r="M42" s="163"/>
      <c r="N42" s="62">
        <f t="shared" si="12"/>
        <v>3.7289282772690058E-11</v>
      </c>
      <c r="O42" s="183"/>
    </row>
    <row r="43" spans="1:19" x14ac:dyDescent="0.2">
      <c r="A43" s="139" t="s">
        <v>23</v>
      </c>
      <c r="B43" s="10">
        <f t="shared" si="16"/>
        <v>17016.04999999993</v>
      </c>
      <c r="C43" s="10">
        <f>1302246.39-788192.61-497037.73</f>
        <v>17016.04999999993</v>
      </c>
      <c r="D43" s="10">
        <v>408.58</v>
      </c>
      <c r="E43" s="10">
        <v>0</v>
      </c>
      <c r="F43" s="12">
        <f t="shared" si="13"/>
        <v>0</v>
      </c>
      <c r="G43" s="10">
        <f t="shared" si="17"/>
        <v>17424.629999999932</v>
      </c>
      <c r="H43" s="13">
        <v>17424.63</v>
      </c>
      <c r="I43" s="14">
        <v>0</v>
      </c>
      <c r="J43" s="14">
        <v>0</v>
      </c>
      <c r="K43" s="14">
        <f t="shared" si="14"/>
        <v>17424.63</v>
      </c>
      <c r="L43" s="15">
        <f t="shared" si="15"/>
        <v>0</v>
      </c>
      <c r="M43" s="163"/>
      <c r="N43" s="155">
        <f t="shared" si="12"/>
        <v>6.9121597334742546E-11</v>
      </c>
      <c r="O43" s="183"/>
    </row>
    <row r="44" spans="1:19" x14ac:dyDescent="0.2">
      <c r="A44" s="139" t="s">
        <v>24</v>
      </c>
      <c r="B44" s="10">
        <f t="shared" si="16"/>
        <v>412246.5499999997</v>
      </c>
      <c r="C44" s="10">
        <f>13636634.35-13212786.17-11601.63</f>
        <v>412246.5499999997</v>
      </c>
      <c r="D44" s="11">
        <v>-459</v>
      </c>
      <c r="E44" s="10">
        <v>0</v>
      </c>
      <c r="F44" s="12">
        <f t="shared" si="13"/>
        <v>0</v>
      </c>
      <c r="G44" s="10">
        <f>+C44+D44-E44</f>
        <v>411787.5499999997</v>
      </c>
      <c r="H44" s="13">
        <v>37530.339999999997</v>
      </c>
      <c r="I44" s="14">
        <v>456237</v>
      </c>
      <c r="J44" s="14">
        <f>52394.42+7312.79+22272.58</f>
        <v>81979.790000000008</v>
      </c>
      <c r="K44" s="14">
        <f t="shared" si="14"/>
        <v>411787.54999999993</v>
      </c>
      <c r="L44" s="15">
        <f t="shared" si="15"/>
        <v>0</v>
      </c>
      <c r="M44" s="163"/>
      <c r="N44" s="62">
        <f t="shared" si="12"/>
        <v>0</v>
      </c>
      <c r="O44" s="183"/>
    </row>
    <row r="45" spans="1:19" x14ac:dyDescent="0.2">
      <c r="A45" s="139" t="s">
        <v>25</v>
      </c>
      <c r="B45" s="10">
        <f t="shared" si="16"/>
        <v>5151.3900000000722</v>
      </c>
      <c r="C45" s="10">
        <f>868753.03-542712.97-320888.67</f>
        <v>5151.3900000000722</v>
      </c>
      <c r="D45" s="10">
        <v>131.31</v>
      </c>
      <c r="E45" s="10">
        <v>0</v>
      </c>
      <c r="F45" s="12">
        <f t="shared" si="13"/>
        <v>0</v>
      </c>
      <c r="G45" s="10">
        <f t="shared" si="17"/>
        <v>5282.7000000000726</v>
      </c>
      <c r="H45" s="13">
        <v>5282.7</v>
      </c>
      <c r="I45" s="14">
        <v>0</v>
      </c>
      <c r="J45" s="14">
        <v>0</v>
      </c>
      <c r="K45" s="14">
        <f t="shared" si="14"/>
        <v>5282.7</v>
      </c>
      <c r="L45" s="15">
        <f t="shared" si="15"/>
        <v>0</v>
      </c>
      <c r="M45" s="163"/>
      <c r="N45" s="155">
        <f t="shared" si="12"/>
        <v>-7.2759576141834259E-11</v>
      </c>
      <c r="O45" s="183"/>
    </row>
    <row r="46" spans="1:19" x14ac:dyDescent="0.2">
      <c r="A46" s="139" t="s">
        <v>27</v>
      </c>
      <c r="B46" s="10">
        <f t="shared" si="16"/>
        <v>3767.3699999999953</v>
      </c>
      <c r="C46" s="10">
        <f>573447.69-569680.32</f>
        <v>3767.3699999999953</v>
      </c>
      <c r="D46" s="11">
        <v>0</v>
      </c>
      <c r="E46" s="10">
        <v>0</v>
      </c>
      <c r="F46" s="12">
        <f t="shared" si="13"/>
        <v>0</v>
      </c>
      <c r="G46" s="10">
        <f t="shared" si="17"/>
        <v>3767.3699999999953</v>
      </c>
      <c r="H46" s="13">
        <v>3767.37</v>
      </c>
      <c r="I46" s="14">
        <v>0</v>
      </c>
      <c r="J46" s="14">
        <v>0</v>
      </c>
      <c r="K46" s="14">
        <f t="shared" si="14"/>
        <v>3767.37</v>
      </c>
      <c r="L46" s="15">
        <f t="shared" si="15"/>
        <v>0</v>
      </c>
      <c r="M46" s="163"/>
      <c r="N46" s="62">
        <f t="shared" si="12"/>
        <v>4.5474735088646412E-12</v>
      </c>
      <c r="O46" s="183"/>
    </row>
    <row r="47" spans="1:19" x14ac:dyDescent="0.2">
      <c r="A47" s="139" t="s">
        <v>28</v>
      </c>
      <c r="B47" s="10">
        <f t="shared" si="16"/>
        <v>542.31999999999971</v>
      </c>
      <c r="C47" s="10">
        <f>36484.65-0-35942.33</f>
        <v>542.31999999999971</v>
      </c>
      <c r="D47" s="11">
        <v>0</v>
      </c>
      <c r="E47" s="10">
        <v>0</v>
      </c>
      <c r="F47" s="12">
        <f t="shared" si="13"/>
        <v>0</v>
      </c>
      <c r="G47" s="10">
        <f t="shared" si="17"/>
        <v>542.31999999999971</v>
      </c>
      <c r="H47" s="13">
        <v>542.32000000000005</v>
      </c>
      <c r="I47" s="14">
        <v>0</v>
      </c>
      <c r="J47" s="14">
        <v>0</v>
      </c>
      <c r="K47" s="14">
        <f t="shared" si="14"/>
        <v>542.32000000000005</v>
      </c>
      <c r="L47" s="15">
        <f t="shared" si="15"/>
        <v>0</v>
      </c>
      <c r="M47" s="163"/>
      <c r="N47" s="155">
        <f t="shared" si="12"/>
        <v>0</v>
      </c>
      <c r="O47" s="183"/>
    </row>
    <row r="48" spans="1:19" x14ac:dyDescent="0.2">
      <c r="A48" s="139" t="s">
        <v>29</v>
      </c>
      <c r="B48" s="10">
        <f>+C48</f>
        <v>489577.01999999862</v>
      </c>
      <c r="C48" s="10">
        <f>25804148.7-21535015.98-3779555.7</f>
        <v>489577.01999999862</v>
      </c>
      <c r="D48" s="45"/>
      <c r="E48" s="10">
        <v>0</v>
      </c>
      <c r="F48" s="12">
        <f t="shared" si="13"/>
        <v>0</v>
      </c>
      <c r="G48" s="10">
        <f>+C48+D48-E48</f>
        <v>489577.01999999862</v>
      </c>
      <c r="H48" s="13">
        <f>2255525.44-1688966.46</f>
        <v>566558.98</v>
      </c>
      <c r="I48" s="14">
        <v>122706.07</v>
      </c>
      <c r="J48" s="14">
        <f>20016.25+99956.62+61086.68+18628.48</f>
        <v>199688.03</v>
      </c>
      <c r="K48" s="14">
        <f>H48+I48-J48</f>
        <v>489577.02</v>
      </c>
      <c r="L48" s="15">
        <f t="shared" si="15"/>
        <v>0</v>
      </c>
      <c r="M48" s="163"/>
      <c r="N48" s="62">
        <f t="shared" si="12"/>
        <v>1.3969838619232178E-9</v>
      </c>
      <c r="O48" s="184"/>
    </row>
    <row r="49" spans="1:17" x14ac:dyDescent="0.2">
      <c r="A49" s="139" t="s">
        <v>30</v>
      </c>
      <c r="B49" s="10">
        <f t="shared" si="16"/>
        <v>193749.02000000025</v>
      </c>
      <c r="C49" s="10">
        <f>19272341-17976826.68-1101765.3</f>
        <v>193749.02000000025</v>
      </c>
      <c r="D49" s="10">
        <v>-484.77</v>
      </c>
      <c r="E49" s="10">
        <v>0</v>
      </c>
      <c r="F49" s="12">
        <f t="shared" si="13"/>
        <v>0</v>
      </c>
      <c r="G49" s="10">
        <f>+C49+D49-E49</f>
        <v>193264.25000000026</v>
      </c>
      <c r="H49" s="13">
        <v>167473.73000000001</v>
      </c>
      <c r="I49" s="14">
        <v>296402</v>
      </c>
      <c r="J49" s="14">
        <f>26299+244312.48</f>
        <v>270611.48</v>
      </c>
      <c r="K49" s="14">
        <f>H49+I49-J49</f>
        <v>193264.25</v>
      </c>
      <c r="L49" s="15">
        <f t="shared" si="15"/>
        <v>0</v>
      </c>
      <c r="M49" s="163"/>
      <c r="N49" s="155">
        <f>+K49-G49</f>
        <v>-2.6193447411060333E-10</v>
      </c>
      <c r="O49" s="185"/>
    </row>
    <row r="50" spans="1:17" s="5" customFormat="1" x14ac:dyDescent="0.2">
      <c r="A50" s="20" t="s">
        <v>33</v>
      </c>
      <c r="B50" s="21">
        <f>SUM(B39:B49)</f>
        <v>1685870.649999999</v>
      </c>
      <c r="C50" s="21">
        <f>SUM(C39:C49)</f>
        <v>2492331.6499999994</v>
      </c>
      <c r="D50" s="21">
        <f>SUM(D39:D49)</f>
        <v>-254.37000000000006</v>
      </c>
      <c r="E50" s="21">
        <f>SUM(E39:E49)</f>
        <v>2038.23</v>
      </c>
      <c r="F50" s="22">
        <f>+E50/C50</f>
        <v>8.178004721000917E-4</v>
      </c>
      <c r="G50" s="21">
        <f>SUM(G39:G49)</f>
        <v>2490039.0499999993</v>
      </c>
      <c r="H50" s="21">
        <f>SUM(H39:H49)</f>
        <v>2962827.68</v>
      </c>
      <c r="I50" s="21">
        <f>SUM(I39:I49)</f>
        <v>1070779.75</v>
      </c>
      <c r="J50" s="21">
        <f>SUM(J39:J49)</f>
        <v>1543568.3800000001</v>
      </c>
      <c r="K50" s="21">
        <f>SUM(K39:K49)</f>
        <v>2490039.0500000003</v>
      </c>
      <c r="L50" s="23"/>
      <c r="M50" s="164"/>
      <c r="N50" s="62">
        <f t="shared" ref="N50:N66" si="18">+K50-G50</f>
        <v>0</v>
      </c>
      <c r="O50" s="204"/>
      <c r="P50" s="143"/>
      <c r="Q50" s="143"/>
    </row>
    <row r="51" spans="1:17" x14ac:dyDescent="0.2">
      <c r="A51" s="139" t="s">
        <v>34</v>
      </c>
      <c r="B51" s="10">
        <v>0</v>
      </c>
      <c r="C51" s="10">
        <v>256006.06</v>
      </c>
      <c r="D51" s="13">
        <v>440.75</v>
      </c>
      <c r="E51" s="10">
        <v>0</v>
      </c>
      <c r="F51" s="12">
        <v>0</v>
      </c>
      <c r="G51" s="10">
        <f>+C51+D51-E51</f>
        <v>256446.81</v>
      </c>
      <c r="H51" s="10">
        <v>238695.02</v>
      </c>
      <c r="I51" s="10">
        <v>30099.8</v>
      </c>
      <c r="J51" s="10">
        <v>12348.01</v>
      </c>
      <c r="K51" s="10">
        <f t="shared" si="14"/>
        <v>256446.81</v>
      </c>
      <c r="L51" s="15"/>
      <c r="M51" s="163"/>
      <c r="N51" s="62">
        <f t="shared" si="18"/>
        <v>0</v>
      </c>
      <c r="O51" s="183"/>
    </row>
    <row r="52" spans="1:17" x14ac:dyDescent="0.2">
      <c r="A52" s="20" t="s">
        <v>35</v>
      </c>
      <c r="B52" s="25">
        <f t="shared" ref="B52:K52" si="19">SUM(B51:B51)</f>
        <v>0</v>
      </c>
      <c r="C52" s="25">
        <f t="shared" si="19"/>
        <v>256006.06</v>
      </c>
      <c r="D52" s="25">
        <f t="shared" si="19"/>
        <v>440.75</v>
      </c>
      <c r="E52" s="25">
        <f t="shared" si="19"/>
        <v>0</v>
      </c>
      <c r="F52" s="25">
        <f t="shared" si="19"/>
        <v>0</v>
      </c>
      <c r="G52" s="25">
        <f t="shared" si="19"/>
        <v>256446.81</v>
      </c>
      <c r="H52" s="25">
        <f t="shared" si="19"/>
        <v>238695.02</v>
      </c>
      <c r="I52" s="25">
        <f t="shared" si="19"/>
        <v>30099.8</v>
      </c>
      <c r="J52" s="25">
        <f t="shared" si="19"/>
        <v>12348.01</v>
      </c>
      <c r="K52" s="25">
        <f t="shared" si="19"/>
        <v>256446.81</v>
      </c>
      <c r="L52" s="27"/>
      <c r="M52" s="163"/>
      <c r="N52" s="62">
        <f t="shared" si="18"/>
        <v>0</v>
      </c>
      <c r="O52" s="183"/>
    </row>
    <row r="53" spans="1:17" x14ac:dyDescent="0.2">
      <c r="A53" s="139" t="s">
        <v>18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0.47</v>
      </c>
      <c r="H53" s="10">
        <v>0.47</v>
      </c>
      <c r="I53" s="10">
        <v>0</v>
      </c>
      <c r="J53" s="10">
        <v>0</v>
      </c>
      <c r="K53" s="10">
        <f t="shared" si="14"/>
        <v>0.47</v>
      </c>
      <c r="L53" s="15"/>
      <c r="M53" s="163"/>
      <c r="N53" s="62">
        <f t="shared" si="18"/>
        <v>0</v>
      </c>
      <c r="O53" s="183"/>
    </row>
    <row r="54" spans="1:17" x14ac:dyDescent="0.2">
      <c r="A54" s="139" t="s">
        <v>29</v>
      </c>
      <c r="B54" s="10">
        <v>0</v>
      </c>
      <c r="C54" s="10">
        <v>0</v>
      </c>
      <c r="D54" s="10">
        <v>0</v>
      </c>
      <c r="E54" s="10">
        <v>0</v>
      </c>
      <c r="F54" s="12">
        <v>0</v>
      </c>
      <c r="G54" s="10">
        <v>17.399999999999999</v>
      </c>
      <c r="H54" s="10">
        <v>17.399999999999999</v>
      </c>
      <c r="I54" s="10"/>
      <c r="J54" s="10">
        <v>0</v>
      </c>
      <c r="K54" s="10">
        <f t="shared" si="14"/>
        <v>17.399999999999999</v>
      </c>
      <c r="L54" s="15"/>
      <c r="M54" s="163"/>
      <c r="N54" s="62">
        <f t="shared" si="18"/>
        <v>0</v>
      </c>
      <c r="O54" s="183"/>
    </row>
    <row r="55" spans="1:17" x14ac:dyDescent="0.2">
      <c r="A55" s="20" t="s">
        <v>37</v>
      </c>
      <c r="B55" s="25">
        <f t="shared" ref="B55:K55" si="20">SUM(B53:B54)</f>
        <v>0</v>
      </c>
      <c r="C55" s="25">
        <f t="shared" si="20"/>
        <v>0</v>
      </c>
      <c r="D55" s="25">
        <f t="shared" si="20"/>
        <v>0</v>
      </c>
      <c r="E55" s="25">
        <f t="shared" si="20"/>
        <v>0</v>
      </c>
      <c r="F55" s="25">
        <f t="shared" si="20"/>
        <v>0</v>
      </c>
      <c r="G55" s="25">
        <f t="shared" si="20"/>
        <v>17.869999999999997</v>
      </c>
      <c r="H55" s="25">
        <f t="shared" si="20"/>
        <v>17.869999999999997</v>
      </c>
      <c r="I55" s="25">
        <f t="shared" si="20"/>
        <v>0</v>
      </c>
      <c r="J55" s="25">
        <f t="shared" si="20"/>
        <v>0</v>
      </c>
      <c r="K55" s="25">
        <f t="shared" si="20"/>
        <v>17.869999999999997</v>
      </c>
      <c r="L55" s="27"/>
      <c r="M55" s="163"/>
      <c r="N55" s="62">
        <f>+K55-G55</f>
        <v>0</v>
      </c>
      <c r="O55" s="183"/>
    </row>
    <row r="56" spans="1:17" x14ac:dyDescent="0.2">
      <c r="A56" s="139" t="s">
        <v>18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1392</v>
      </c>
      <c r="H56" s="10">
        <v>1392</v>
      </c>
      <c r="I56" s="10">
        <v>0</v>
      </c>
      <c r="J56" s="10">
        <v>0</v>
      </c>
      <c r="K56" s="10">
        <f t="shared" si="14"/>
        <v>1392</v>
      </c>
      <c r="L56" s="15"/>
      <c r="M56" s="163"/>
      <c r="N56" s="62">
        <f t="shared" si="18"/>
        <v>0</v>
      </c>
      <c r="O56" s="183"/>
    </row>
    <row r="57" spans="1:17" x14ac:dyDescent="0.2">
      <c r="A57" s="139" t="s">
        <v>20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382.8</v>
      </c>
      <c r="H57" s="10">
        <v>382.8</v>
      </c>
      <c r="I57" s="10">
        <v>0</v>
      </c>
      <c r="J57" s="10">
        <v>0</v>
      </c>
      <c r="K57" s="10">
        <f t="shared" si="14"/>
        <v>382.8</v>
      </c>
      <c r="L57" s="15"/>
      <c r="M57" s="163"/>
      <c r="N57" s="62">
        <f t="shared" si="18"/>
        <v>0</v>
      </c>
      <c r="O57" s="183"/>
    </row>
    <row r="58" spans="1:17" x14ac:dyDescent="0.2">
      <c r="A58" s="139" t="s">
        <v>29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242057.67</v>
      </c>
      <c r="H58" s="10">
        <v>242057.67</v>
      </c>
      <c r="I58" s="10">
        <v>0</v>
      </c>
      <c r="J58" s="10">
        <v>0</v>
      </c>
      <c r="K58" s="10">
        <f t="shared" si="14"/>
        <v>242057.67</v>
      </c>
      <c r="L58" s="15"/>
      <c r="M58" s="163"/>
      <c r="N58" s="62">
        <f t="shared" si="18"/>
        <v>0</v>
      </c>
      <c r="O58" s="183"/>
    </row>
    <row r="59" spans="1:17" x14ac:dyDescent="0.2">
      <c r="A59" s="20" t="s">
        <v>38</v>
      </c>
      <c r="B59" s="25">
        <f t="shared" ref="B59:K59" si="21">SUM(B56:B58)</f>
        <v>0</v>
      </c>
      <c r="C59" s="25">
        <f t="shared" si="21"/>
        <v>0</v>
      </c>
      <c r="D59" s="25">
        <f t="shared" si="21"/>
        <v>0</v>
      </c>
      <c r="E59" s="25">
        <f t="shared" si="21"/>
        <v>0</v>
      </c>
      <c r="F59" s="25">
        <f t="shared" si="21"/>
        <v>0</v>
      </c>
      <c r="G59" s="25">
        <f t="shared" si="21"/>
        <v>243832.47</v>
      </c>
      <c r="H59" s="25">
        <f t="shared" si="21"/>
        <v>243832.47</v>
      </c>
      <c r="I59" s="25">
        <f t="shared" si="21"/>
        <v>0</v>
      </c>
      <c r="J59" s="25">
        <f t="shared" si="21"/>
        <v>0</v>
      </c>
      <c r="K59" s="25">
        <f t="shared" si="21"/>
        <v>243832.47</v>
      </c>
      <c r="L59" s="27"/>
      <c r="M59" s="163"/>
      <c r="N59" s="62">
        <f t="shared" si="18"/>
        <v>0</v>
      </c>
      <c r="O59" s="183"/>
    </row>
    <row r="60" spans="1:17" x14ac:dyDescent="0.2">
      <c r="A60" s="139" t="s">
        <v>36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-10</v>
      </c>
      <c r="H60" s="10">
        <v>-10</v>
      </c>
      <c r="I60" s="10">
        <v>0</v>
      </c>
      <c r="J60" s="10">
        <v>0</v>
      </c>
      <c r="K60" s="10">
        <f t="shared" si="14"/>
        <v>-10</v>
      </c>
      <c r="L60" s="15"/>
      <c r="M60" s="163"/>
      <c r="N60" s="62">
        <f t="shared" si="18"/>
        <v>0</v>
      </c>
      <c r="O60" s="183"/>
    </row>
    <row r="61" spans="1:17" x14ac:dyDescent="0.2">
      <c r="A61" s="139" t="s">
        <v>20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219.47</v>
      </c>
      <c r="H61" s="10">
        <v>219.47</v>
      </c>
      <c r="I61" s="10">
        <v>0</v>
      </c>
      <c r="J61" s="10">
        <v>0</v>
      </c>
      <c r="K61" s="10">
        <f t="shared" si="14"/>
        <v>219.47</v>
      </c>
      <c r="L61" s="15"/>
      <c r="M61" s="163"/>
      <c r="N61" s="62">
        <f t="shared" si="18"/>
        <v>0</v>
      </c>
      <c r="O61" s="183"/>
    </row>
    <row r="62" spans="1:17" x14ac:dyDescent="0.2">
      <c r="A62" s="139" t="s">
        <v>24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1150.8900000000001</v>
      </c>
      <c r="H62" s="10">
        <v>42631.81</v>
      </c>
      <c r="I62" s="10">
        <v>412765.08</v>
      </c>
      <c r="J62" s="10">
        <v>454246</v>
      </c>
      <c r="K62" s="10">
        <f t="shared" si="14"/>
        <v>1150.890000000014</v>
      </c>
      <c r="L62" s="15"/>
      <c r="M62" s="163"/>
      <c r="N62" s="62">
        <f t="shared" si="18"/>
        <v>1.3869794202037156E-11</v>
      </c>
      <c r="O62" s="183"/>
    </row>
    <row r="63" spans="1:17" x14ac:dyDescent="0.2">
      <c r="A63" s="139" t="s">
        <v>25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719.87</v>
      </c>
      <c r="H63" s="10">
        <v>719.87</v>
      </c>
      <c r="I63" s="10">
        <v>0</v>
      </c>
      <c r="J63" s="10">
        <v>0</v>
      </c>
      <c r="K63" s="10">
        <f t="shared" si="14"/>
        <v>719.87</v>
      </c>
      <c r="L63" s="15"/>
      <c r="M63" s="163"/>
      <c r="N63" s="62">
        <f t="shared" si="18"/>
        <v>0</v>
      </c>
      <c r="O63" s="183"/>
    </row>
    <row r="64" spans="1:17" x14ac:dyDescent="0.2">
      <c r="A64" s="139" t="s">
        <v>27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267528.84000000003</v>
      </c>
      <c r="H64" s="10">
        <v>0</v>
      </c>
      <c r="I64" s="10">
        <v>267528.84000000003</v>
      </c>
      <c r="J64" s="10">
        <v>0</v>
      </c>
      <c r="K64" s="10">
        <f t="shared" si="14"/>
        <v>267528.84000000003</v>
      </c>
      <c r="L64" s="15"/>
      <c r="M64" s="163"/>
      <c r="N64" s="62">
        <f t="shared" si="18"/>
        <v>0</v>
      </c>
      <c r="O64" s="183"/>
    </row>
    <row r="65" spans="1:15" x14ac:dyDescent="0.2">
      <c r="A65" s="139" t="s">
        <v>29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236767.4</v>
      </c>
      <c r="H65" s="10">
        <v>243581.68</v>
      </c>
      <c r="I65" s="10">
        <v>0</v>
      </c>
      <c r="J65" s="10">
        <f>2827.74+3986.54</f>
        <v>6814.28</v>
      </c>
      <c r="K65" s="10">
        <f t="shared" si="14"/>
        <v>236767.4</v>
      </c>
      <c r="L65" s="15"/>
      <c r="M65" s="163"/>
      <c r="N65" s="62">
        <f t="shared" si="18"/>
        <v>0</v>
      </c>
      <c r="O65" s="183"/>
    </row>
    <row r="66" spans="1:15" x14ac:dyDescent="0.2">
      <c r="A66" s="20" t="s">
        <v>39</v>
      </c>
      <c r="B66" s="25">
        <f t="shared" ref="B66:K66" si="22">SUM(B60:B65)</f>
        <v>0</v>
      </c>
      <c r="C66" s="25">
        <f t="shared" si="22"/>
        <v>0</v>
      </c>
      <c r="D66" s="25">
        <f t="shared" si="22"/>
        <v>0</v>
      </c>
      <c r="E66" s="25">
        <f t="shared" si="22"/>
        <v>0</v>
      </c>
      <c r="F66" s="25">
        <f t="shared" si="22"/>
        <v>0</v>
      </c>
      <c r="G66" s="25">
        <f t="shared" si="22"/>
        <v>506376.47</v>
      </c>
      <c r="H66" s="25">
        <f t="shared" si="22"/>
        <v>287142.83</v>
      </c>
      <c r="I66" s="25">
        <f t="shared" si="22"/>
        <v>680293.92</v>
      </c>
      <c r="J66" s="25">
        <f t="shared" si="22"/>
        <v>461060.28</v>
      </c>
      <c r="K66" s="25">
        <f t="shared" si="22"/>
        <v>506376.47000000009</v>
      </c>
      <c r="L66" s="27"/>
      <c r="M66" s="163"/>
      <c r="N66" s="62">
        <f t="shared" si="18"/>
        <v>0</v>
      </c>
      <c r="O66" s="183"/>
    </row>
    <row r="67" spans="1:15" x14ac:dyDescent="0.25">
      <c r="A67" s="20" t="s">
        <v>44</v>
      </c>
      <c r="B67" s="25">
        <f t="shared" ref="B67:K67" si="23">+B38+B50+B52+B55+B59+B66</f>
        <v>104936112.92999999</v>
      </c>
      <c r="C67" s="25">
        <f t="shared" si="23"/>
        <v>5165475.4700000016</v>
      </c>
      <c r="D67" s="25">
        <f t="shared" si="23"/>
        <v>186637.53</v>
      </c>
      <c r="E67" s="25">
        <f t="shared" si="23"/>
        <v>1385479.11</v>
      </c>
      <c r="F67" s="25">
        <f t="shared" si="23"/>
        <v>5.1205107245603871</v>
      </c>
      <c r="G67" s="25">
        <f t="shared" si="23"/>
        <v>4716860.7000000011</v>
      </c>
      <c r="H67" s="25">
        <f t="shared" si="23"/>
        <v>6340908.4699999997</v>
      </c>
      <c r="I67" s="25">
        <f t="shared" si="23"/>
        <v>3102683.26</v>
      </c>
      <c r="J67" s="25">
        <f t="shared" si="23"/>
        <v>4726731.03</v>
      </c>
      <c r="K67" s="25">
        <f t="shared" si="23"/>
        <v>4716860.7</v>
      </c>
      <c r="L67" s="27"/>
      <c r="M67" s="163"/>
      <c r="O67" s="186"/>
    </row>
    <row r="68" spans="1:15" x14ac:dyDescent="0.25">
      <c r="A68" s="28"/>
      <c r="B68" s="29"/>
      <c r="C68" s="29"/>
      <c r="D68" s="29"/>
      <c r="E68" s="28"/>
      <c r="F68" s="28"/>
      <c r="G68" s="28"/>
      <c r="H68" s="28"/>
      <c r="I68" s="28"/>
      <c r="J68" s="28"/>
      <c r="K68" s="28"/>
      <c r="L68" s="30"/>
      <c r="M68" s="30"/>
      <c r="O68" s="186"/>
    </row>
    <row r="69" spans="1:15" x14ac:dyDescent="0.25">
      <c r="A69" s="140"/>
      <c r="B69" s="19"/>
      <c r="C69" s="333" t="s">
        <v>45</v>
      </c>
      <c r="D69" s="333"/>
      <c r="E69" s="333"/>
      <c r="F69" s="333"/>
      <c r="G69" s="333"/>
      <c r="H69" s="333"/>
      <c r="I69" s="333"/>
      <c r="J69" s="19"/>
      <c r="K69" s="19"/>
      <c r="L69" s="19"/>
      <c r="M69" s="19"/>
      <c r="O69" s="186"/>
    </row>
    <row r="70" spans="1:15" x14ac:dyDescent="0.25">
      <c r="A70" s="140"/>
      <c r="B70" s="19"/>
      <c r="C70" s="181"/>
      <c r="D70" s="181"/>
      <c r="E70" s="181"/>
      <c r="F70" s="181"/>
      <c r="G70" s="181"/>
      <c r="H70" s="181"/>
      <c r="I70" s="181"/>
      <c r="J70" s="19"/>
      <c r="K70" s="19"/>
      <c r="L70" s="19"/>
      <c r="M70" s="19"/>
      <c r="O70" s="186"/>
    </row>
    <row r="71" spans="1:15" x14ac:dyDescent="0.25">
      <c r="A71" s="140"/>
      <c r="B71" s="325" t="s">
        <v>46</v>
      </c>
      <c r="C71" s="325"/>
      <c r="D71" s="326" t="s">
        <v>47</v>
      </c>
      <c r="E71" s="327"/>
      <c r="F71" s="328"/>
      <c r="G71" s="320" t="s">
        <v>48</v>
      </c>
      <c r="H71" s="320"/>
      <c r="I71" s="179" t="s">
        <v>10</v>
      </c>
      <c r="J71" s="19"/>
      <c r="K71" s="19"/>
      <c r="L71" s="19"/>
      <c r="M71" s="19"/>
      <c r="O71" s="186"/>
    </row>
    <row r="72" spans="1:15" x14ac:dyDescent="0.25">
      <c r="A72" s="140"/>
      <c r="B72" s="329" t="s">
        <v>49</v>
      </c>
      <c r="C72" s="329"/>
      <c r="D72" s="330">
        <v>9000000</v>
      </c>
      <c r="E72" s="331"/>
      <c r="F72" s="332">
        <v>0</v>
      </c>
      <c r="G72" s="330">
        <v>2437954.37</v>
      </c>
      <c r="H72" s="332"/>
      <c r="I72" s="33">
        <f>G72/D72</f>
        <v>0.27088381888888891</v>
      </c>
      <c r="J72" s="19"/>
      <c r="K72" s="19"/>
      <c r="L72" s="19"/>
      <c r="M72" s="19"/>
      <c r="O72" s="186"/>
    </row>
    <row r="73" spans="1:15" x14ac:dyDescent="0.25">
      <c r="A73" s="140"/>
      <c r="B73" s="320"/>
      <c r="C73" s="320"/>
      <c r="D73" s="321"/>
      <c r="E73" s="322"/>
      <c r="F73" s="323"/>
      <c r="G73" s="324"/>
      <c r="H73" s="324"/>
      <c r="I73" s="180"/>
      <c r="J73" s="19"/>
      <c r="K73" s="19"/>
      <c r="L73" s="19"/>
      <c r="M73" s="19"/>
      <c r="O73" s="186"/>
    </row>
    <row r="74" spans="1:15" x14ac:dyDescent="0.25">
      <c r="A74" s="140"/>
      <c r="B74" s="320"/>
      <c r="C74" s="320"/>
      <c r="D74" s="321"/>
      <c r="E74" s="322"/>
      <c r="F74" s="323"/>
      <c r="G74" s="324"/>
      <c r="H74" s="324"/>
      <c r="I74" s="180"/>
      <c r="J74" s="19"/>
      <c r="K74" s="19"/>
      <c r="L74" s="19"/>
      <c r="M74" s="19"/>
      <c r="O74" s="186"/>
    </row>
    <row r="75" spans="1:15" x14ac:dyDescent="0.25">
      <c r="A75" s="140"/>
      <c r="B75" s="320"/>
      <c r="C75" s="320"/>
      <c r="D75" s="321"/>
      <c r="E75" s="322"/>
      <c r="F75" s="323"/>
      <c r="G75" s="324"/>
      <c r="H75" s="324"/>
      <c r="I75" s="180"/>
      <c r="J75" s="19"/>
      <c r="K75" s="19"/>
      <c r="L75" s="19"/>
      <c r="M75" s="19"/>
      <c r="O75" s="186"/>
    </row>
    <row r="76" spans="1:15" x14ac:dyDescent="0.25">
      <c r="A76" s="35" t="s">
        <v>50</v>
      </c>
      <c r="B76" s="36"/>
      <c r="C76" s="36"/>
      <c r="D76" s="36"/>
      <c r="E76" s="36"/>
      <c r="F76" s="36"/>
      <c r="G76" s="37"/>
      <c r="H76" s="37"/>
      <c r="I76" s="38"/>
      <c r="J76" s="19"/>
      <c r="K76" s="19"/>
      <c r="L76" s="19"/>
      <c r="M76" s="19"/>
      <c r="O76" s="186"/>
    </row>
    <row r="77" spans="1:15" x14ac:dyDescent="0.25">
      <c r="O77" s="186"/>
    </row>
    <row r="78" spans="1:15" x14ac:dyDescent="0.25">
      <c r="O78" s="186"/>
    </row>
    <row r="79" spans="1:15" x14ac:dyDescent="0.25">
      <c r="O79" s="186"/>
    </row>
    <row r="80" spans="1:15" x14ac:dyDescent="0.25">
      <c r="O80" s="186"/>
    </row>
    <row r="81" spans="15:15" x14ac:dyDescent="0.25">
      <c r="O81" s="186"/>
    </row>
    <row r="82" spans="15:15" x14ac:dyDescent="0.25">
      <c r="O82" s="186"/>
    </row>
    <row r="83" spans="15:15" x14ac:dyDescent="0.25">
      <c r="O83" s="186"/>
    </row>
    <row r="84" spans="15:15" x14ac:dyDescent="0.25">
      <c r="O84" s="186"/>
    </row>
    <row r="85" spans="15:15" x14ac:dyDescent="0.25">
      <c r="O85" s="186"/>
    </row>
    <row r="86" spans="15:15" x14ac:dyDescent="0.25">
      <c r="O86" s="186"/>
    </row>
    <row r="87" spans="15:15" x14ac:dyDescent="0.25">
      <c r="O87" s="186"/>
    </row>
    <row r="88" spans="15:15" x14ac:dyDescent="0.25">
      <c r="O88" s="186"/>
    </row>
    <row r="89" spans="15:15" x14ac:dyDescent="0.25">
      <c r="O89" s="186"/>
    </row>
    <row r="90" spans="15:15" x14ac:dyDescent="0.25">
      <c r="O90" s="186"/>
    </row>
    <row r="91" spans="15:15" x14ac:dyDescent="0.25">
      <c r="O91" s="186"/>
    </row>
    <row r="92" spans="15:15" x14ac:dyDescent="0.25">
      <c r="O92" s="186"/>
    </row>
    <row r="93" spans="15:15" x14ac:dyDescent="0.25">
      <c r="O93" s="186"/>
    </row>
    <row r="94" spans="15:15" x14ac:dyDescent="0.25">
      <c r="O94" s="186"/>
    </row>
    <row r="95" spans="15:15" x14ac:dyDescent="0.25">
      <c r="O95" s="186"/>
    </row>
    <row r="96" spans="15:15" x14ac:dyDescent="0.25">
      <c r="O96" s="186"/>
    </row>
    <row r="97" spans="15:15" x14ac:dyDescent="0.25">
      <c r="O97" s="186"/>
    </row>
    <row r="98" spans="15:15" x14ac:dyDescent="0.25">
      <c r="O98" s="186"/>
    </row>
    <row r="99" spans="15:15" x14ac:dyDescent="0.25">
      <c r="O99" s="186"/>
    </row>
    <row r="100" spans="15:15" x14ac:dyDescent="0.25">
      <c r="O100" s="186"/>
    </row>
    <row r="101" spans="15:15" x14ac:dyDescent="0.25">
      <c r="O101" s="186"/>
    </row>
    <row r="102" spans="15:15" x14ac:dyDescent="0.25">
      <c r="O102" s="186"/>
    </row>
    <row r="103" spans="15:15" x14ac:dyDescent="0.25">
      <c r="O103" s="186"/>
    </row>
    <row r="104" spans="15:15" x14ac:dyDescent="0.25">
      <c r="O104" s="186"/>
    </row>
    <row r="105" spans="15:15" x14ac:dyDescent="0.25">
      <c r="O105" s="186"/>
    </row>
    <row r="106" spans="15:15" x14ac:dyDescent="0.25">
      <c r="O106" s="186"/>
    </row>
    <row r="107" spans="15:15" x14ac:dyDescent="0.25">
      <c r="O107" s="186"/>
    </row>
    <row r="108" spans="15:15" x14ac:dyDescent="0.25">
      <c r="O108" s="186"/>
    </row>
    <row r="109" spans="15:15" x14ac:dyDescent="0.25">
      <c r="O109" s="186"/>
    </row>
    <row r="110" spans="15:15" x14ac:dyDescent="0.25">
      <c r="O110" s="186"/>
    </row>
    <row r="111" spans="15:15" x14ac:dyDescent="0.25">
      <c r="O111" s="186"/>
    </row>
    <row r="112" spans="15:15" x14ac:dyDescent="0.25">
      <c r="O112" s="186"/>
    </row>
    <row r="113" spans="15:15" x14ac:dyDescent="0.25">
      <c r="O113" s="186"/>
    </row>
    <row r="114" spans="15:15" x14ac:dyDescent="0.25">
      <c r="O114" s="186"/>
    </row>
    <row r="115" spans="15:15" x14ac:dyDescent="0.25">
      <c r="O115" s="186"/>
    </row>
    <row r="116" spans="15:15" x14ac:dyDescent="0.25">
      <c r="O116" s="186"/>
    </row>
    <row r="117" spans="15:15" x14ac:dyDescent="0.25">
      <c r="O117" s="186"/>
    </row>
    <row r="118" spans="15:15" x14ac:dyDescent="0.25">
      <c r="O118" s="186"/>
    </row>
    <row r="119" spans="15:15" x14ac:dyDescent="0.25">
      <c r="O119" s="186"/>
    </row>
    <row r="120" spans="15:15" x14ac:dyDescent="0.25">
      <c r="O120" s="186"/>
    </row>
    <row r="121" spans="15:15" x14ac:dyDescent="0.25">
      <c r="O121" s="186"/>
    </row>
    <row r="122" spans="15:15" x14ac:dyDescent="0.25">
      <c r="O122" s="186"/>
    </row>
    <row r="123" spans="15:15" x14ac:dyDescent="0.25">
      <c r="O123" s="186"/>
    </row>
    <row r="124" spans="15:15" x14ac:dyDescent="0.25">
      <c r="O124" s="186"/>
    </row>
    <row r="125" spans="15:15" x14ac:dyDescent="0.25">
      <c r="O125" s="186"/>
    </row>
    <row r="126" spans="15:15" x14ac:dyDescent="0.25">
      <c r="O126" s="186"/>
    </row>
    <row r="127" spans="15:15" x14ac:dyDescent="0.25">
      <c r="O127" s="186"/>
    </row>
    <row r="128" spans="15:15" x14ac:dyDescent="0.25">
      <c r="O128" s="186"/>
    </row>
    <row r="129" spans="15:15" x14ac:dyDescent="0.25">
      <c r="O129" s="186"/>
    </row>
    <row r="130" spans="15:15" x14ac:dyDescent="0.25">
      <c r="O130" s="186"/>
    </row>
    <row r="131" spans="15:15" x14ac:dyDescent="0.25">
      <c r="O131" s="186"/>
    </row>
    <row r="132" spans="15:15" x14ac:dyDescent="0.25">
      <c r="O132" s="186"/>
    </row>
    <row r="133" spans="15:15" x14ac:dyDescent="0.25">
      <c r="O133" s="186"/>
    </row>
    <row r="134" spans="15:15" x14ac:dyDescent="0.25">
      <c r="O134" s="186"/>
    </row>
    <row r="135" spans="15:15" x14ac:dyDescent="0.25">
      <c r="O135" s="186"/>
    </row>
    <row r="136" spans="15:15" x14ac:dyDescent="0.25">
      <c r="O136" s="186"/>
    </row>
    <row r="137" spans="15:15" x14ac:dyDescent="0.25">
      <c r="O137" s="186"/>
    </row>
    <row r="138" spans="15:15" x14ac:dyDescent="0.25">
      <c r="O138" s="186"/>
    </row>
    <row r="139" spans="15:15" x14ac:dyDescent="0.25">
      <c r="O139" s="186"/>
    </row>
    <row r="140" spans="15:15" x14ac:dyDescent="0.25">
      <c r="O140" s="186"/>
    </row>
    <row r="141" spans="15:15" x14ac:dyDescent="0.25">
      <c r="O141" s="186"/>
    </row>
    <row r="142" spans="15:15" x14ac:dyDescent="0.25">
      <c r="O142" s="186"/>
    </row>
    <row r="143" spans="15:15" x14ac:dyDescent="0.25">
      <c r="O143" s="186"/>
    </row>
    <row r="144" spans="15:15" x14ac:dyDescent="0.25">
      <c r="O144" s="186"/>
    </row>
    <row r="145" spans="15:15" x14ac:dyDescent="0.25">
      <c r="O145" s="186"/>
    </row>
    <row r="146" spans="15:15" x14ac:dyDescent="0.25">
      <c r="O146" s="186"/>
    </row>
    <row r="147" spans="15:15" x14ac:dyDescent="0.25">
      <c r="O147" s="186"/>
    </row>
    <row r="148" spans="15:15" x14ac:dyDescent="0.25">
      <c r="O148" s="186"/>
    </row>
    <row r="149" spans="15:15" x14ac:dyDescent="0.25">
      <c r="O149" s="186"/>
    </row>
    <row r="150" spans="15:15" x14ac:dyDescent="0.25">
      <c r="O150" s="186"/>
    </row>
    <row r="151" spans="15:15" x14ac:dyDescent="0.25">
      <c r="O151" s="186"/>
    </row>
    <row r="152" spans="15:15" x14ac:dyDescent="0.25">
      <c r="O152" s="186"/>
    </row>
    <row r="153" spans="15:15" x14ac:dyDescent="0.25">
      <c r="O153" s="186"/>
    </row>
    <row r="154" spans="15:15" x14ac:dyDescent="0.25">
      <c r="O154" s="186"/>
    </row>
    <row r="155" spans="15:15" x14ac:dyDescent="0.25">
      <c r="O155" s="186"/>
    </row>
    <row r="156" spans="15:15" x14ac:dyDescent="0.25">
      <c r="O156" s="186"/>
    </row>
    <row r="157" spans="15:15" x14ac:dyDescent="0.25">
      <c r="O157" s="186"/>
    </row>
    <row r="158" spans="15:15" x14ac:dyDescent="0.25">
      <c r="O158" s="186"/>
    </row>
    <row r="159" spans="15:15" x14ac:dyDescent="0.25">
      <c r="O159" s="186"/>
    </row>
    <row r="160" spans="15:15" x14ac:dyDescent="0.25">
      <c r="O160" s="186"/>
    </row>
    <row r="161" spans="15:15" x14ac:dyDescent="0.25">
      <c r="O161" s="186"/>
    </row>
    <row r="162" spans="15:15" x14ac:dyDescent="0.25">
      <c r="O162" s="186"/>
    </row>
    <row r="163" spans="15:15" x14ac:dyDescent="0.25">
      <c r="O163" s="186"/>
    </row>
    <row r="164" spans="15:15" x14ac:dyDescent="0.25">
      <c r="O164" s="186"/>
    </row>
    <row r="165" spans="15:15" x14ac:dyDescent="0.25">
      <c r="O165" s="186"/>
    </row>
    <row r="166" spans="15:15" x14ac:dyDescent="0.25">
      <c r="O166" s="186"/>
    </row>
    <row r="167" spans="15:15" x14ac:dyDescent="0.25">
      <c r="O167" s="186"/>
    </row>
    <row r="168" spans="15:15" x14ac:dyDescent="0.25">
      <c r="O168" s="186"/>
    </row>
    <row r="169" spans="15:15" x14ac:dyDescent="0.25">
      <c r="O169" s="186"/>
    </row>
    <row r="170" spans="15:15" x14ac:dyDescent="0.25">
      <c r="O170" s="186"/>
    </row>
    <row r="171" spans="15:15" x14ac:dyDescent="0.25">
      <c r="O171" s="186"/>
    </row>
    <row r="172" spans="15:15" x14ac:dyDescent="0.25">
      <c r="O172" s="186"/>
    </row>
    <row r="173" spans="15:15" x14ac:dyDescent="0.25">
      <c r="O173" s="186"/>
    </row>
    <row r="174" spans="15:15" x14ac:dyDescent="0.25">
      <c r="O174" s="186"/>
    </row>
    <row r="175" spans="15:15" x14ac:dyDescent="0.25">
      <c r="O175" s="186"/>
    </row>
    <row r="176" spans="15:15" x14ac:dyDescent="0.25">
      <c r="O176" s="186"/>
    </row>
    <row r="177" spans="15:15" x14ac:dyDescent="0.25">
      <c r="O177" s="186"/>
    </row>
    <row r="178" spans="15:15" x14ac:dyDescent="0.25">
      <c r="O178" s="186"/>
    </row>
    <row r="179" spans="15:15" x14ac:dyDescent="0.25">
      <c r="O179" s="186"/>
    </row>
    <row r="180" spans="15:15" x14ac:dyDescent="0.25">
      <c r="O180" s="186"/>
    </row>
    <row r="181" spans="15:15" x14ac:dyDescent="0.25">
      <c r="O181" s="186"/>
    </row>
    <row r="182" spans="15:15" x14ac:dyDescent="0.25">
      <c r="O182" s="186"/>
    </row>
    <row r="183" spans="15:15" x14ac:dyDescent="0.25">
      <c r="O183" s="186"/>
    </row>
    <row r="184" spans="15:15" x14ac:dyDescent="0.25">
      <c r="O184" s="186"/>
    </row>
    <row r="185" spans="15:15" x14ac:dyDescent="0.25">
      <c r="O185" s="186"/>
    </row>
    <row r="186" spans="15:15" x14ac:dyDescent="0.25">
      <c r="O186" s="186"/>
    </row>
    <row r="187" spans="15:15" x14ac:dyDescent="0.25">
      <c r="O187" s="186"/>
    </row>
    <row r="188" spans="15:15" x14ac:dyDescent="0.25">
      <c r="O188" s="186"/>
    </row>
    <row r="189" spans="15:15" x14ac:dyDescent="0.25">
      <c r="O189" s="186"/>
    </row>
    <row r="190" spans="15:15" x14ac:dyDescent="0.25">
      <c r="O190" s="186"/>
    </row>
    <row r="191" spans="15:15" x14ac:dyDescent="0.25">
      <c r="O191" s="186"/>
    </row>
    <row r="192" spans="15:15" x14ac:dyDescent="0.25">
      <c r="O192" s="186"/>
    </row>
    <row r="193" spans="15:15" x14ac:dyDescent="0.25">
      <c r="O193" s="186"/>
    </row>
    <row r="194" spans="15:15" x14ac:dyDescent="0.25">
      <c r="O194" s="186"/>
    </row>
    <row r="195" spans="15:15" x14ac:dyDescent="0.25">
      <c r="O195" s="186"/>
    </row>
    <row r="196" spans="15:15" x14ac:dyDescent="0.25">
      <c r="O196" s="186"/>
    </row>
    <row r="197" spans="15:15" x14ac:dyDescent="0.25">
      <c r="O197" s="186"/>
    </row>
    <row r="198" spans="15:15" x14ac:dyDescent="0.25">
      <c r="O198" s="186"/>
    </row>
    <row r="199" spans="15:15" x14ac:dyDescent="0.25">
      <c r="O199" s="186"/>
    </row>
    <row r="200" spans="15:15" x14ac:dyDescent="0.25">
      <c r="O200" s="186"/>
    </row>
    <row r="201" spans="15:15" x14ac:dyDescent="0.25">
      <c r="O201" s="186"/>
    </row>
    <row r="202" spans="15:15" x14ac:dyDescent="0.25">
      <c r="O202" s="186"/>
    </row>
    <row r="203" spans="15:15" x14ac:dyDescent="0.25">
      <c r="O203" s="186"/>
    </row>
    <row r="204" spans="15:15" x14ac:dyDescent="0.25">
      <c r="O204" s="186"/>
    </row>
    <row r="205" spans="15:15" x14ac:dyDescent="0.25">
      <c r="O205" s="186"/>
    </row>
    <row r="206" spans="15:15" x14ac:dyDescent="0.25">
      <c r="O206" s="186"/>
    </row>
    <row r="207" spans="15:15" x14ac:dyDescent="0.25">
      <c r="O207" s="186"/>
    </row>
    <row r="208" spans="15:15" x14ac:dyDescent="0.25">
      <c r="O208" s="186"/>
    </row>
    <row r="209" spans="15:15" x14ac:dyDescent="0.25">
      <c r="O209" s="186"/>
    </row>
    <row r="210" spans="15:15" x14ac:dyDescent="0.25">
      <c r="O210" s="186"/>
    </row>
    <row r="211" spans="15:15" x14ac:dyDescent="0.25">
      <c r="O211" s="186"/>
    </row>
    <row r="212" spans="15:15" x14ac:dyDescent="0.25">
      <c r="O212" s="186"/>
    </row>
    <row r="213" spans="15:15" x14ac:dyDescent="0.25">
      <c r="O213" s="186"/>
    </row>
    <row r="214" spans="15:15" x14ac:dyDescent="0.25">
      <c r="O214" s="186"/>
    </row>
    <row r="215" spans="15:15" x14ac:dyDescent="0.25">
      <c r="O215" s="186"/>
    </row>
    <row r="216" spans="15:15" x14ac:dyDescent="0.25">
      <c r="O216" s="186"/>
    </row>
    <row r="217" spans="15:15" x14ac:dyDescent="0.25">
      <c r="O217" s="186"/>
    </row>
    <row r="218" spans="15:15" x14ac:dyDescent="0.25">
      <c r="O218" s="186"/>
    </row>
    <row r="219" spans="15:15" x14ac:dyDescent="0.25">
      <c r="O219" s="186"/>
    </row>
    <row r="220" spans="15:15" x14ac:dyDescent="0.25">
      <c r="O220" s="186"/>
    </row>
    <row r="221" spans="15:15" x14ac:dyDescent="0.25">
      <c r="O221" s="186"/>
    </row>
    <row r="222" spans="15:15" x14ac:dyDescent="0.25">
      <c r="O222" s="186"/>
    </row>
    <row r="223" spans="15:15" x14ac:dyDescent="0.25">
      <c r="O223" s="186"/>
    </row>
    <row r="224" spans="15:15" x14ac:dyDescent="0.25">
      <c r="O224" s="186"/>
    </row>
    <row r="225" spans="15:15" x14ac:dyDescent="0.25">
      <c r="O225" s="186"/>
    </row>
    <row r="226" spans="15:15" x14ac:dyDescent="0.25">
      <c r="O226" s="186"/>
    </row>
    <row r="227" spans="15:15" x14ac:dyDescent="0.25">
      <c r="O227" s="186"/>
    </row>
    <row r="228" spans="15:15" x14ac:dyDescent="0.25">
      <c r="O228" s="186"/>
    </row>
    <row r="229" spans="15:15" x14ac:dyDescent="0.25">
      <c r="O229" s="186"/>
    </row>
    <row r="230" spans="15:15" x14ac:dyDescent="0.25">
      <c r="O230" s="186"/>
    </row>
    <row r="231" spans="15:15" x14ac:dyDescent="0.25">
      <c r="O231" s="186"/>
    </row>
    <row r="232" spans="15:15" x14ac:dyDescent="0.25">
      <c r="O232" s="186"/>
    </row>
    <row r="233" spans="15:15" x14ac:dyDescent="0.25">
      <c r="O233" s="186"/>
    </row>
    <row r="234" spans="15:15" x14ac:dyDescent="0.25">
      <c r="O234" s="186"/>
    </row>
    <row r="235" spans="15:15" x14ac:dyDescent="0.25">
      <c r="O235" s="186"/>
    </row>
    <row r="236" spans="15:15" x14ac:dyDescent="0.25">
      <c r="O236" s="186"/>
    </row>
    <row r="237" spans="15:15" x14ac:dyDescent="0.25">
      <c r="O237" s="186"/>
    </row>
    <row r="238" spans="15:15" x14ac:dyDescent="0.25">
      <c r="O238" s="186"/>
    </row>
    <row r="239" spans="15:15" x14ac:dyDescent="0.25">
      <c r="O239" s="186"/>
    </row>
    <row r="240" spans="15:15" x14ac:dyDescent="0.25">
      <c r="O240" s="186"/>
    </row>
    <row r="241" spans="15:15" x14ac:dyDescent="0.25">
      <c r="O241" s="186"/>
    </row>
    <row r="242" spans="15:15" x14ac:dyDescent="0.25">
      <c r="O242" s="186"/>
    </row>
    <row r="243" spans="15:15" x14ac:dyDescent="0.25">
      <c r="O243" s="186"/>
    </row>
    <row r="244" spans="15:15" x14ac:dyDescent="0.25">
      <c r="O244" s="186"/>
    </row>
    <row r="245" spans="15:15" x14ac:dyDescent="0.25">
      <c r="O245" s="186"/>
    </row>
    <row r="246" spans="15:15" x14ac:dyDescent="0.25">
      <c r="O246" s="186"/>
    </row>
    <row r="247" spans="15:15" x14ac:dyDescent="0.25">
      <c r="O247" s="186"/>
    </row>
    <row r="248" spans="15:15" x14ac:dyDescent="0.25">
      <c r="O248" s="186"/>
    </row>
    <row r="249" spans="15:15" x14ac:dyDescent="0.25">
      <c r="O249" s="186"/>
    </row>
    <row r="250" spans="15:15" x14ac:dyDescent="0.25">
      <c r="O250" s="186"/>
    </row>
    <row r="251" spans="15:15" x14ac:dyDescent="0.25">
      <c r="O251" s="186"/>
    </row>
    <row r="252" spans="15:15" x14ac:dyDescent="0.25">
      <c r="O252" s="186"/>
    </row>
    <row r="253" spans="15:15" x14ac:dyDescent="0.25">
      <c r="O253" s="186"/>
    </row>
    <row r="254" spans="15:15" x14ac:dyDescent="0.25">
      <c r="O254" s="186"/>
    </row>
    <row r="255" spans="15:15" x14ac:dyDescent="0.25">
      <c r="O255" s="186"/>
    </row>
    <row r="256" spans="15:15" x14ac:dyDescent="0.25">
      <c r="O256" s="186"/>
    </row>
    <row r="257" spans="15:15" x14ac:dyDescent="0.25">
      <c r="O257" s="186"/>
    </row>
    <row r="258" spans="15:15" x14ac:dyDescent="0.25">
      <c r="O258" s="186"/>
    </row>
    <row r="259" spans="15:15" x14ac:dyDescent="0.25">
      <c r="O259" s="186"/>
    </row>
    <row r="260" spans="15:15" x14ac:dyDescent="0.25">
      <c r="O260" s="186"/>
    </row>
    <row r="261" spans="15:15" x14ac:dyDescent="0.25">
      <c r="O261" s="186"/>
    </row>
    <row r="262" spans="15:15" x14ac:dyDescent="0.25">
      <c r="O262" s="186"/>
    </row>
    <row r="263" spans="15:15" x14ac:dyDescent="0.25">
      <c r="O263" s="186"/>
    </row>
    <row r="264" spans="15:15" x14ac:dyDescent="0.25">
      <c r="O264" s="186"/>
    </row>
    <row r="265" spans="15:15" x14ac:dyDescent="0.25">
      <c r="O265" s="186"/>
    </row>
    <row r="266" spans="15:15" x14ac:dyDescent="0.25">
      <c r="O266" s="186"/>
    </row>
    <row r="267" spans="15:15" x14ac:dyDescent="0.25">
      <c r="O267" s="186"/>
    </row>
    <row r="268" spans="15:15" x14ac:dyDescent="0.25">
      <c r="O268" s="186"/>
    </row>
    <row r="269" spans="15:15" x14ac:dyDescent="0.25">
      <c r="O269" s="186"/>
    </row>
    <row r="270" spans="15:15" x14ac:dyDescent="0.25">
      <c r="O270" s="186"/>
    </row>
    <row r="271" spans="15:15" x14ac:dyDescent="0.25">
      <c r="O271" s="186"/>
    </row>
    <row r="272" spans="15:15" x14ac:dyDescent="0.25">
      <c r="O272" s="186"/>
    </row>
    <row r="273" spans="15:15" x14ac:dyDescent="0.25">
      <c r="O273" s="186"/>
    </row>
    <row r="274" spans="15:15" x14ac:dyDescent="0.25">
      <c r="O274" s="186"/>
    </row>
    <row r="275" spans="15:15" x14ac:dyDescent="0.25">
      <c r="O275" s="186"/>
    </row>
    <row r="276" spans="15:15" x14ac:dyDescent="0.25">
      <c r="O276" s="186"/>
    </row>
    <row r="277" spans="15:15" x14ac:dyDescent="0.25">
      <c r="O277" s="186"/>
    </row>
    <row r="278" spans="15:15" x14ac:dyDescent="0.25">
      <c r="O278" s="186"/>
    </row>
    <row r="279" spans="15:15" x14ac:dyDescent="0.25">
      <c r="O279" s="186"/>
    </row>
    <row r="280" spans="15:15" x14ac:dyDescent="0.25">
      <c r="O280" s="186"/>
    </row>
    <row r="281" spans="15:15" x14ac:dyDescent="0.25">
      <c r="O281" s="186"/>
    </row>
    <row r="282" spans="15:15" x14ac:dyDescent="0.25">
      <c r="O282" s="186"/>
    </row>
  </sheetData>
  <mergeCells count="33">
    <mergeCell ref="A1:L1"/>
    <mergeCell ref="A3:L3"/>
    <mergeCell ref="A6:L6"/>
    <mergeCell ref="A7:L7"/>
    <mergeCell ref="C8:G8"/>
    <mergeCell ref="H8:K8"/>
    <mergeCell ref="A9:A10"/>
    <mergeCell ref="B9:B10"/>
    <mergeCell ref="C9:C10"/>
    <mergeCell ref="D9:D10"/>
    <mergeCell ref="E9:E10"/>
    <mergeCell ref="J9:J10"/>
    <mergeCell ref="K9:K10"/>
    <mergeCell ref="B71:C71"/>
    <mergeCell ref="D71:F71"/>
    <mergeCell ref="G71:H71"/>
    <mergeCell ref="C69:I69"/>
    <mergeCell ref="F9:F10"/>
    <mergeCell ref="G9:G10"/>
    <mergeCell ref="H9:H10"/>
    <mergeCell ref="I9:I10"/>
    <mergeCell ref="B72:C72"/>
    <mergeCell ref="D72:F72"/>
    <mergeCell ref="G72:H72"/>
    <mergeCell ref="B75:C75"/>
    <mergeCell ref="D75:F75"/>
    <mergeCell ref="G75:H75"/>
    <mergeCell ref="B73:C73"/>
    <mergeCell ref="D73:F73"/>
    <mergeCell ref="G73:H73"/>
    <mergeCell ref="B74:C74"/>
    <mergeCell ref="D74:F74"/>
    <mergeCell ref="G74:H74"/>
  </mergeCell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283"/>
  <sheetViews>
    <sheetView zoomScale="120" zoomScaleNormal="120" workbookViewId="0">
      <selection activeCell="H21" sqref="H21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16.5703125" style="1" customWidth="1"/>
    <col min="14" max="14" width="24.28515625" style="165" customWidth="1"/>
    <col min="15" max="15" width="16.5703125" style="169" customWidth="1"/>
    <col min="16" max="17" width="16.5703125" style="141"/>
    <col min="18" max="257" width="16.5703125" style="1"/>
    <col min="258" max="258" width="16.5703125" style="1" customWidth="1"/>
    <col min="259" max="262" width="12.7109375" style="1" customWidth="1"/>
    <col min="263" max="263" width="6.5703125" style="1" bestFit="1" customWidth="1"/>
    <col min="264" max="268" width="12.7109375" style="1" customWidth="1"/>
    <col min="269" max="513" width="16.5703125" style="1"/>
    <col min="514" max="514" width="16.5703125" style="1" customWidth="1"/>
    <col min="515" max="518" width="12.7109375" style="1" customWidth="1"/>
    <col min="519" max="519" width="6.5703125" style="1" bestFit="1" customWidth="1"/>
    <col min="520" max="524" width="12.7109375" style="1" customWidth="1"/>
    <col min="525" max="769" width="16.5703125" style="1"/>
    <col min="770" max="770" width="16.5703125" style="1" customWidth="1"/>
    <col min="771" max="774" width="12.7109375" style="1" customWidth="1"/>
    <col min="775" max="775" width="6.5703125" style="1" bestFit="1" customWidth="1"/>
    <col min="776" max="780" width="12.7109375" style="1" customWidth="1"/>
    <col min="781" max="1025" width="16.5703125" style="1"/>
    <col min="1026" max="1026" width="16.5703125" style="1" customWidth="1"/>
    <col min="1027" max="1030" width="12.7109375" style="1" customWidth="1"/>
    <col min="1031" max="1031" width="6.5703125" style="1" bestFit="1" customWidth="1"/>
    <col min="1032" max="1036" width="12.7109375" style="1" customWidth="1"/>
    <col min="1037" max="1281" width="16.5703125" style="1"/>
    <col min="1282" max="1282" width="16.5703125" style="1" customWidth="1"/>
    <col min="1283" max="1286" width="12.7109375" style="1" customWidth="1"/>
    <col min="1287" max="1287" width="6.5703125" style="1" bestFit="1" customWidth="1"/>
    <col min="1288" max="1292" width="12.7109375" style="1" customWidth="1"/>
    <col min="1293" max="1537" width="16.5703125" style="1"/>
    <col min="1538" max="1538" width="16.5703125" style="1" customWidth="1"/>
    <col min="1539" max="1542" width="12.7109375" style="1" customWidth="1"/>
    <col min="1543" max="1543" width="6.5703125" style="1" bestFit="1" customWidth="1"/>
    <col min="1544" max="1548" width="12.7109375" style="1" customWidth="1"/>
    <col min="1549" max="1793" width="16.5703125" style="1"/>
    <col min="1794" max="1794" width="16.5703125" style="1" customWidth="1"/>
    <col min="1795" max="1798" width="12.7109375" style="1" customWidth="1"/>
    <col min="1799" max="1799" width="6.5703125" style="1" bestFit="1" customWidth="1"/>
    <col min="1800" max="1804" width="12.7109375" style="1" customWidth="1"/>
    <col min="1805" max="2049" width="16.5703125" style="1"/>
    <col min="2050" max="2050" width="16.5703125" style="1" customWidth="1"/>
    <col min="2051" max="2054" width="12.7109375" style="1" customWidth="1"/>
    <col min="2055" max="2055" width="6.5703125" style="1" bestFit="1" customWidth="1"/>
    <col min="2056" max="2060" width="12.7109375" style="1" customWidth="1"/>
    <col min="2061" max="2305" width="16.5703125" style="1"/>
    <col min="2306" max="2306" width="16.5703125" style="1" customWidth="1"/>
    <col min="2307" max="2310" width="12.7109375" style="1" customWidth="1"/>
    <col min="2311" max="2311" width="6.5703125" style="1" bestFit="1" customWidth="1"/>
    <col min="2312" max="2316" width="12.7109375" style="1" customWidth="1"/>
    <col min="2317" max="2561" width="16.5703125" style="1"/>
    <col min="2562" max="2562" width="16.5703125" style="1" customWidth="1"/>
    <col min="2563" max="2566" width="12.7109375" style="1" customWidth="1"/>
    <col min="2567" max="2567" width="6.5703125" style="1" bestFit="1" customWidth="1"/>
    <col min="2568" max="2572" width="12.7109375" style="1" customWidth="1"/>
    <col min="2573" max="2817" width="16.5703125" style="1"/>
    <col min="2818" max="2818" width="16.5703125" style="1" customWidth="1"/>
    <col min="2819" max="2822" width="12.7109375" style="1" customWidth="1"/>
    <col min="2823" max="2823" width="6.5703125" style="1" bestFit="1" customWidth="1"/>
    <col min="2824" max="2828" width="12.7109375" style="1" customWidth="1"/>
    <col min="2829" max="3073" width="16.5703125" style="1"/>
    <col min="3074" max="3074" width="16.5703125" style="1" customWidth="1"/>
    <col min="3075" max="3078" width="12.7109375" style="1" customWidth="1"/>
    <col min="3079" max="3079" width="6.5703125" style="1" bestFit="1" customWidth="1"/>
    <col min="3080" max="3084" width="12.7109375" style="1" customWidth="1"/>
    <col min="3085" max="3329" width="16.5703125" style="1"/>
    <col min="3330" max="3330" width="16.5703125" style="1" customWidth="1"/>
    <col min="3331" max="3334" width="12.7109375" style="1" customWidth="1"/>
    <col min="3335" max="3335" width="6.5703125" style="1" bestFit="1" customWidth="1"/>
    <col min="3336" max="3340" width="12.7109375" style="1" customWidth="1"/>
    <col min="3341" max="3585" width="16.5703125" style="1"/>
    <col min="3586" max="3586" width="16.5703125" style="1" customWidth="1"/>
    <col min="3587" max="3590" width="12.7109375" style="1" customWidth="1"/>
    <col min="3591" max="3591" width="6.5703125" style="1" bestFit="1" customWidth="1"/>
    <col min="3592" max="3596" width="12.7109375" style="1" customWidth="1"/>
    <col min="3597" max="3841" width="16.5703125" style="1"/>
    <col min="3842" max="3842" width="16.5703125" style="1" customWidth="1"/>
    <col min="3843" max="3846" width="12.7109375" style="1" customWidth="1"/>
    <col min="3847" max="3847" width="6.5703125" style="1" bestFit="1" customWidth="1"/>
    <col min="3848" max="3852" width="12.7109375" style="1" customWidth="1"/>
    <col min="3853" max="4097" width="16.5703125" style="1"/>
    <col min="4098" max="4098" width="16.5703125" style="1" customWidth="1"/>
    <col min="4099" max="4102" width="12.7109375" style="1" customWidth="1"/>
    <col min="4103" max="4103" width="6.5703125" style="1" bestFit="1" customWidth="1"/>
    <col min="4104" max="4108" width="12.7109375" style="1" customWidth="1"/>
    <col min="4109" max="4353" width="16.5703125" style="1"/>
    <col min="4354" max="4354" width="16.5703125" style="1" customWidth="1"/>
    <col min="4355" max="4358" width="12.7109375" style="1" customWidth="1"/>
    <col min="4359" max="4359" width="6.5703125" style="1" bestFit="1" customWidth="1"/>
    <col min="4360" max="4364" width="12.7109375" style="1" customWidth="1"/>
    <col min="4365" max="4609" width="16.5703125" style="1"/>
    <col min="4610" max="4610" width="16.5703125" style="1" customWidth="1"/>
    <col min="4611" max="4614" width="12.7109375" style="1" customWidth="1"/>
    <col min="4615" max="4615" width="6.5703125" style="1" bestFit="1" customWidth="1"/>
    <col min="4616" max="4620" width="12.7109375" style="1" customWidth="1"/>
    <col min="4621" max="4865" width="16.5703125" style="1"/>
    <col min="4866" max="4866" width="16.5703125" style="1" customWidth="1"/>
    <col min="4867" max="4870" width="12.7109375" style="1" customWidth="1"/>
    <col min="4871" max="4871" width="6.5703125" style="1" bestFit="1" customWidth="1"/>
    <col min="4872" max="4876" width="12.7109375" style="1" customWidth="1"/>
    <col min="4877" max="5121" width="16.5703125" style="1"/>
    <col min="5122" max="5122" width="16.5703125" style="1" customWidth="1"/>
    <col min="5123" max="5126" width="12.7109375" style="1" customWidth="1"/>
    <col min="5127" max="5127" width="6.5703125" style="1" bestFit="1" customWidth="1"/>
    <col min="5128" max="5132" width="12.7109375" style="1" customWidth="1"/>
    <col min="5133" max="5377" width="16.5703125" style="1"/>
    <col min="5378" max="5378" width="16.5703125" style="1" customWidth="1"/>
    <col min="5379" max="5382" width="12.7109375" style="1" customWidth="1"/>
    <col min="5383" max="5383" width="6.5703125" style="1" bestFit="1" customWidth="1"/>
    <col min="5384" max="5388" width="12.7109375" style="1" customWidth="1"/>
    <col min="5389" max="5633" width="16.5703125" style="1"/>
    <col min="5634" max="5634" width="16.5703125" style="1" customWidth="1"/>
    <col min="5635" max="5638" width="12.7109375" style="1" customWidth="1"/>
    <col min="5639" max="5639" width="6.5703125" style="1" bestFit="1" customWidth="1"/>
    <col min="5640" max="5644" width="12.7109375" style="1" customWidth="1"/>
    <col min="5645" max="5889" width="16.5703125" style="1"/>
    <col min="5890" max="5890" width="16.5703125" style="1" customWidth="1"/>
    <col min="5891" max="5894" width="12.7109375" style="1" customWidth="1"/>
    <col min="5895" max="5895" width="6.5703125" style="1" bestFit="1" customWidth="1"/>
    <col min="5896" max="5900" width="12.7109375" style="1" customWidth="1"/>
    <col min="5901" max="6145" width="16.5703125" style="1"/>
    <col min="6146" max="6146" width="16.5703125" style="1" customWidth="1"/>
    <col min="6147" max="6150" width="12.7109375" style="1" customWidth="1"/>
    <col min="6151" max="6151" width="6.5703125" style="1" bestFit="1" customWidth="1"/>
    <col min="6152" max="6156" width="12.7109375" style="1" customWidth="1"/>
    <col min="6157" max="6401" width="16.5703125" style="1"/>
    <col min="6402" max="6402" width="16.5703125" style="1" customWidth="1"/>
    <col min="6403" max="6406" width="12.7109375" style="1" customWidth="1"/>
    <col min="6407" max="6407" width="6.5703125" style="1" bestFit="1" customWidth="1"/>
    <col min="6408" max="6412" width="12.7109375" style="1" customWidth="1"/>
    <col min="6413" max="6657" width="16.5703125" style="1"/>
    <col min="6658" max="6658" width="16.5703125" style="1" customWidth="1"/>
    <col min="6659" max="6662" width="12.7109375" style="1" customWidth="1"/>
    <col min="6663" max="6663" width="6.5703125" style="1" bestFit="1" customWidth="1"/>
    <col min="6664" max="6668" width="12.7109375" style="1" customWidth="1"/>
    <col min="6669" max="6913" width="16.5703125" style="1"/>
    <col min="6914" max="6914" width="16.5703125" style="1" customWidth="1"/>
    <col min="6915" max="6918" width="12.7109375" style="1" customWidth="1"/>
    <col min="6919" max="6919" width="6.5703125" style="1" bestFit="1" customWidth="1"/>
    <col min="6920" max="6924" width="12.7109375" style="1" customWidth="1"/>
    <col min="6925" max="7169" width="16.5703125" style="1"/>
    <col min="7170" max="7170" width="16.5703125" style="1" customWidth="1"/>
    <col min="7171" max="7174" width="12.7109375" style="1" customWidth="1"/>
    <col min="7175" max="7175" width="6.5703125" style="1" bestFit="1" customWidth="1"/>
    <col min="7176" max="7180" width="12.7109375" style="1" customWidth="1"/>
    <col min="7181" max="7425" width="16.5703125" style="1"/>
    <col min="7426" max="7426" width="16.5703125" style="1" customWidth="1"/>
    <col min="7427" max="7430" width="12.7109375" style="1" customWidth="1"/>
    <col min="7431" max="7431" width="6.5703125" style="1" bestFit="1" customWidth="1"/>
    <col min="7432" max="7436" width="12.7109375" style="1" customWidth="1"/>
    <col min="7437" max="7681" width="16.5703125" style="1"/>
    <col min="7682" max="7682" width="16.5703125" style="1" customWidth="1"/>
    <col min="7683" max="7686" width="12.7109375" style="1" customWidth="1"/>
    <col min="7687" max="7687" width="6.5703125" style="1" bestFit="1" customWidth="1"/>
    <col min="7688" max="7692" width="12.7109375" style="1" customWidth="1"/>
    <col min="7693" max="7937" width="16.5703125" style="1"/>
    <col min="7938" max="7938" width="16.5703125" style="1" customWidth="1"/>
    <col min="7939" max="7942" width="12.7109375" style="1" customWidth="1"/>
    <col min="7943" max="7943" width="6.5703125" style="1" bestFit="1" customWidth="1"/>
    <col min="7944" max="7948" width="12.7109375" style="1" customWidth="1"/>
    <col min="7949" max="8193" width="16.5703125" style="1"/>
    <col min="8194" max="8194" width="16.5703125" style="1" customWidth="1"/>
    <col min="8195" max="8198" width="12.7109375" style="1" customWidth="1"/>
    <col min="8199" max="8199" width="6.5703125" style="1" bestFit="1" customWidth="1"/>
    <col min="8200" max="8204" width="12.7109375" style="1" customWidth="1"/>
    <col min="8205" max="8449" width="16.5703125" style="1"/>
    <col min="8450" max="8450" width="16.5703125" style="1" customWidth="1"/>
    <col min="8451" max="8454" width="12.7109375" style="1" customWidth="1"/>
    <col min="8455" max="8455" width="6.5703125" style="1" bestFit="1" customWidth="1"/>
    <col min="8456" max="8460" width="12.7109375" style="1" customWidth="1"/>
    <col min="8461" max="8705" width="16.5703125" style="1"/>
    <col min="8706" max="8706" width="16.5703125" style="1" customWidth="1"/>
    <col min="8707" max="8710" width="12.7109375" style="1" customWidth="1"/>
    <col min="8711" max="8711" width="6.5703125" style="1" bestFit="1" customWidth="1"/>
    <col min="8712" max="8716" width="12.7109375" style="1" customWidth="1"/>
    <col min="8717" max="8961" width="16.5703125" style="1"/>
    <col min="8962" max="8962" width="16.5703125" style="1" customWidth="1"/>
    <col min="8963" max="8966" width="12.7109375" style="1" customWidth="1"/>
    <col min="8967" max="8967" width="6.5703125" style="1" bestFit="1" customWidth="1"/>
    <col min="8968" max="8972" width="12.7109375" style="1" customWidth="1"/>
    <col min="8973" max="9217" width="16.5703125" style="1"/>
    <col min="9218" max="9218" width="16.5703125" style="1" customWidth="1"/>
    <col min="9219" max="9222" width="12.7109375" style="1" customWidth="1"/>
    <col min="9223" max="9223" width="6.5703125" style="1" bestFit="1" customWidth="1"/>
    <col min="9224" max="9228" width="12.7109375" style="1" customWidth="1"/>
    <col min="9229" max="9473" width="16.5703125" style="1"/>
    <col min="9474" max="9474" width="16.5703125" style="1" customWidth="1"/>
    <col min="9475" max="9478" width="12.7109375" style="1" customWidth="1"/>
    <col min="9479" max="9479" width="6.5703125" style="1" bestFit="1" customWidth="1"/>
    <col min="9480" max="9484" width="12.7109375" style="1" customWidth="1"/>
    <col min="9485" max="9729" width="16.5703125" style="1"/>
    <col min="9730" max="9730" width="16.5703125" style="1" customWidth="1"/>
    <col min="9731" max="9734" width="12.7109375" style="1" customWidth="1"/>
    <col min="9735" max="9735" width="6.5703125" style="1" bestFit="1" customWidth="1"/>
    <col min="9736" max="9740" width="12.7109375" style="1" customWidth="1"/>
    <col min="9741" max="9985" width="16.5703125" style="1"/>
    <col min="9986" max="9986" width="16.5703125" style="1" customWidth="1"/>
    <col min="9987" max="9990" width="12.7109375" style="1" customWidth="1"/>
    <col min="9991" max="9991" width="6.5703125" style="1" bestFit="1" customWidth="1"/>
    <col min="9992" max="9996" width="12.7109375" style="1" customWidth="1"/>
    <col min="9997" max="10241" width="16.5703125" style="1"/>
    <col min="10242" max="10242" width="16.5703125" style="1" customWidth="1"/>
    <col min="10243" max="10246" width="12.7109375" style="1" customWidth="1"/>
    <col min="10247" max="10247" width="6.5703125" style="1" bestFit="1" customWidth="1"/>
    <col min="10248" max="10252" width="12.7109375" style="1" customWidth="1"/>
    <col min="10253" max="10497" width="16.5703125" style="1"/>
    <col min="10498" max="10498" width="16.5703125" style="1" customWidth="1"/>
    <col min="10499" max="10502" width="12.7109375" style="1" customWidth="1"/>
    <col min="10503" max="10503" width="6.5703125" style="1" bestFit="1" customWidth="1"/>
    <col min="10504" max="10508" width="12.7109375" style="1" customWidth="1"/>
    <col min="10509" max="10753" width="16.5703125" style="1"/>
    <col min="10754" max="10754" width="16.5703125" style="1" customWidth="1"/>
    <col min="10755" max="10758" width="12.7109375" style="1" customWidth="1"/>
    <col min="10759" max="10759" width="6.5703125" style="1" bestFit="1" customWidth="1"/>
    <col min="10760" max="10764" width="12.7109375" style="1" customWidth="1"/>
    <col min="10765" max="11009" width="16.5703125" style="1"/>
    <col min="11010" max="11010" width="16.5703125" style="1" customWidth="1"/>
    <col min="11011" max="11014" width="12.7109375" style="1" customWidth="1"/>
    <col min="11015" max="11015" width="6.5703125" style="1" bestFit="1" customWidth="1"/>
    <col min="11016" max="11020" width="12.7109375" style="1" customWidth="1"/>
    <col min="11021" max="11265" width="16.5703125" style="1"/>
    <col min="11266" max="11266" width="16.5703125" style="1" customWidth="1"/>
    <col min="11267" max="11270" width="12.7109375" style="1" customWidth="1"/>
    <col min="11271" max="11271" width="6.5703125" style="1" bestFit="1" customWidth="1"/>
    <col min="11272" max="11276" width="12.7109375" style="1" customWidth="1"/>
    <col min="11277" max="11521" width="16.5703125" style="1"/>
    <col min="11522" max="11522" width="16.5703125" style="1" customWidth="1"/>
    <col min="11523" max="11526" width="12.7109375" style="1" customWidth="1"/>
    <col min="11527" max="11527" width="6.5703125" style="1" bestFit="1" customWidth="1"/>
    <col min="11528" max="11532" width="12.7109375" style="1" customWidth="1"/>
    <col min="11533" max="11777" width="16.5703125" style="1"/>
    <col min="11778" max="11778" width="16.5703125" style="1" customWidth="1"/>
    <col min="11779" max="11782" width="12.7109375" style="1" customWidth="1"/>
    <col min="11783" max="11783" width="6.5703125" style="1" bestFit="1" customWidth="1"/>
    <col min="11784" max="11788" width="12.7109375" style="1" customWidth="1"/>
    <col min="11789" max="12033" width="16.5703125" style="1"/>
    <col min="12034" max="12034" width="16.5703125" style="1" customWidth="1"/>
    <col min="12035" max="12038" width="12.7109375" style="1" customWidth="1"/>
    <col min="12039" max="12039" width="6.5703125" style="1" bestFit="1" customWidth="1"/>
    <col min="12040" max="12044" width="12.7109375" style="1" customWidth="1"/>
    <col min="12045" max="12289" width="16.5703125" style="1"/>
    <col min="12290" max="12290" width="16.5703125" style="1" customWidth="1"/>
    <col min="12291" max="12294" width="12.7109375" style="1" customWidth="1"/>
    <col min="12295" max="12295" width="6.5703125" style="1" bestFit="1" customWidth="1"/>
    <col min="12296" max="12300" width="12.7109375" style="1" customWidth="1"/>
    <col min="12301" max="12545" width="16.5703125" style="1"/>
    <col min="12546" max="12546" width="16.5703125" style="1" customWidth="1"/>
    <col min="12547" max="12550" width="12.7109375" style="1" customWidth="1"/>
    <col min="12551" max="12551" width="6.5703125" style="1" bestFit="1" customWidth="1"/>
    <col min="12552" max="12556" width="12.7109375" style="1" customWidth="1"/>
    <col min="12557" max="12801" width="16.5703125" style="1"/>
    <col min="12802" max="12802" width="16.5703125" style="1" customWidth="1"/>
    <col min="12803" max="12806" width="12.7109375" style="1" customWidth="1"/>
    <col min="12807" max="12807" width="6.5703125" style="1" bestFit="1" customWidth="1"/>
    <col min="12808" max="12812" width="12.7109375" style="1" customWidth="1"/>
    <col min="12813" max="13057" width="16.5703125" style="1"/>
    <col min="13058" max="13058" width="16.5703125" style="1" customWidth="1"/>
    <col min="13059" max="13062" width="12.7109375" style="1" customWidth="1"/>
    <col min="13063" max="13063" width="6.5703125" style="1" bestFit="1" customWidth="1"/>
    <col min="13064" max="13068" width="12.7109375" style="1" customWidth="1"/>
    <col min="13069" max="13313" width="16.5703125" style="1"/>
    <col min="13314" max="13314" width="16.5703125" style="1" customWidth="1"/>
    <col min="13315" max="13318" width="12.7109375" style="1" customWidth="1"/>
    <col min="13319" max="13319" width="6.5703125" style="1" bestFit="1" customWidth="1"/>
    <col min="13320" max="13324" width="12.7109375" style="1" customWidth="1"/>
    <col min="13325" max="13569" width="16.5703125" style="1"/>
    <col min="13570" max="13570" width="16.5703125" style="1" customWidth="1"/>
    <col min="13571" max="13574" width="12.7109375" style="1" customWidth="1"/>
    <col min="13575" max="13575" width="6.5703125" style="1" bestFit="1" customWidth="1"/>
    <col min="13576" max="13580" width="12.7109375" style="1" customWidth="1"/>
    <col min="13581" max="13825" width="16.5703125" style="1"/>
    <col min="13826" max="13826" width="16.5703125" style="1" customWidth="1"/>
    <col min="13827" max="13830" width="12.7109375" style="1" customWidth="1"/>
    <col min="13831" max="13831" width="6.5703125" style="1" bestFit="1" customWidth="1"/>
    <col min="13832" max="13836" width="12.7109375" style="1" customWidth="1"/>
    <col min="13837" max="14081" width="16.5703125" style="1"/>
    <col min="14082" max="14082" width="16.5703125" style="1" customWidth="1"/>
    <col min="14083" max="14086" width="12.7109375" style="1" customWidth="1"/>
    <col min="14087" max="14087" width="6.5703125" style="1" bestFit="1" customWidth="1"/>
    <col min="14088" max="14092" width="12.7109375" style="1" customWidth="1"/>
    <col min="14093" max="14337" width="16.5703125" style="1"/>
    <col min="14338" max="14338" width="16.5703125" style="1" customWidth="1"/>
    <col min="14339" max="14342" width="12.7109375" style="1" customWidth="1"/>
    <col min="14343" max="14343" width="6.5703125" style="1" bestFit="1" customWidth="1"/>
    <col min="14344" max="14348" width="12.7109375" style="1" customWidth="1"/>
    <col min="14349" max="14593" width="16.5703125" style="1"/>
    <col min="14594" max="14594" width="16.5703125" style="1" customWidth="1"/>
    <col min="14595" max="14598" width="12.7109375" style="1" customWidth="1"/>
    <col min="14599" max="14599" width="6.5703125" style="1" bestFit="1" customWidth="1"/>
    <col min="14600" max="14604" width="12.7109375" style="1" customWidth="1"/>
    <col min="14605" max="14849" width="16.5703125" style="1"/>
    <col min="14850" max="14850" width="16.5703125" style="1" customWidth="1"/>
    <col min="14851" max="14854" width="12.7109375" style="1" customWidth="1"/>
    <col min="14855" max="14855" width="6.5703125" style="1" bestFit="1" customWidth="1"/>
    <col min="14856" max="14860" width="12.7109375" style="1" customWidth="1"/>
    <col min="14861" max="15105" width="16.5703125" style="1"/>
    <col min="15106" max="15106" width="16.5703125" style="1" customWidth="1"/>
    <col min="15107" max="15110" width="12.7109375" style="1" customWidth="1"/>
    <col min="15111" max="15111" width="6.5703125" style="1" bestFit="1" customWidth="1"/>
    <col min="15112" max="15116" width="12.7109375" style="1" customWidth="1"/>
    <col min="15117" max="15361" width="16.5703125" style="1"/>
    <col min="15362" max="15362" width="16.5703125" style="1" customWidth="1"/>
    <col min="15363" max="15366" width="12.7109375" style="1" customWidth="1"/>
    <col min="15367" max="15367" width="6.5703125" style="1" bestFit="1" customWidth="1"/>
    <col min="15368" max="15372" width="12.7109375" style="1" customWidth="1"/>
    <col min="15373" max="15617" width="16.5703125" style="1"/>
    <col min="15618" max="15618" width="16.5703125" style="1" customWidth="1"/>
    <col min="15619" max="15622" width="12.7109375" style="1" customWidth="1"/>
    <col min="15623" max="15623" width="6.5703125" style="1" bestFit="1" customWidth="1"/>
    <col min="15624" max="15628" width="12.7109375" style="1" customWidth="1"/>
    <col min="15629" max="15873" width="16.5703125" style="1"/>
    <col min="15874" max="15874" width="16.5703125" style="1" customWidth="1"/>
    <col min="15875" max="15878" width="12.7109375" style="1" customWidth="1"/>
    <col min="15879" max="15879" width="6.5703125" style="1" bestFit="1" customWidth="1"/>
    <col min="15880" max="15884" width="12.7109375" style="1" customWidth="1"/>
    <col min="15885" max="16129" width="16.5703125" style="1"/>
    <col min="16130" max="16130" width="16.5703125" style="1" customWidth="1"/>
    <col min="16131" max="16134" width="12.7109375" style="1" customWidth="1"/>
    <col min="16135" max="16135" width="6.5703125" style="1" bestFit="1" customWidth="1"/>
    <col min="16136" max="16140" width="12.7109375" style="1" customWidth="1"/>
    <col min="16141" max="16384" width="16.5703125" style="1"/>
  </cols>
  <sheetData>
    <row r="1" spans="1:17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216"/>
      <c r="O1" s="186"/>
    </row>
    <row r="2" spans="1:17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86"/>
    </row>
    <row r="3" spans="1:17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216"/>
      <c r="O3" s="186"/>
    </row>
    <row r="4" spans="1:17" x14ac:dyDescent="0.25">
      <c r="A4" s="3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O4" s="186"/>
    </row>
    <row r="5" spans="1:17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  <c r="O5" s="186"/>
    </row>
    <row r="6" spans="1:17" x14ac:dyDescent="0.25">
      <c r="A6" s="334" t="s">
        <v>54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O6" s="186"/>
    </row>
    <row r="7" spans="1:17" x14ac:dyDescent="0.25">
      <c r="A7" s="334" t="s">
        <v>132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O7" s="186"/>
    </row>
    <row r="8" spans="1:17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  <c r="O8" s="186"/>
    </row>
    <row r="9" spans="1:17" s="17" customFormat="1" ht="18" customHeight="1" x14ac:dyDescent="0.25">
      <c r="A9" s="337" t="s">
        <v>5</v>
      </c>
      <c r="B9" s="340" t="s">
        <v>6</v>
      </c>
      <c r="C9" s="341" t="s">
        <v>7</v>
      </c>
      <c r="D9" s="341" t="s">
        <v>8</v>
      </c>
      <c r="E9" s="341" t="s">
        <v>9</v>
      </c>
      <c r="F9" s="340" t="s">
        <v>10</v>
      </c>
      <c r="G9" s="337" t="s">
        <v>11</v>
      </c>
      <c r="H9" s="341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30"/>
      <c r="N9" s="166"/>
      <c r="O9" s="187"/>
      <c r="P9" s="142"/>
      <c r="Q9" s="142"/>
    </row>
    <row r="10" spans="1:17" x14ac:dyDescent="0.25">
      <c r="A10" s="338"/>
      <c r="B10" s="340"/>
      <c r="C10" s="341"/>
      <c r="D10" s="341"/>
      <c r="E10" s="341"/>
      <c r="F10" s="340"/>
      <c r="G10" s="338"/>
      <c r="H10" s="341"/>
      <c r="I10" s="340"/>
      <c r="J10" s="340"/>
      <c r="K10" s="340"/>
      <c r="L10" s="8" t="s">
        <v>17</v>
      </c>
      <c r="M10" s="30"/>
      <c r="O10" s="186"/>
      <c r="P10" s="151"/>
    </row>
    <row r="11" spans="1:17" s="17" customFormat="1" x14ac:dyDescent="0.25">
      <c r="A11" s="139" t="s">
        <v>18</v>
      </c>
      <c r="B11" s="14">
        <v>14556397.630000001</v>
      </c>
      <c r="C11" s="14">
        <v>4783631.32</v>
      </c>
      <c r="D11" s="11">
        <v>0</v>
      </c>
      <c r="E11" s="14">
        <v>3149957.74</v>
      </c>
      <c r="F11" s="14">
        <f>+E11/C11</f>
        <v>0.65848672886438075</v>
      </c>
      <c r="G11" s="14">
        <f t="shared" ref="G11:G22" si="0">+C11+D11-E11</f>
        <v>1633673.58</v>
      </c>
      <c r="H11" s="11">
        <f>717217.15+74318.31</f>
        <v>791535.46</v>
      </c>
      <c r="I11" s="14">
        <f>1075286.76+12960</f>
        <v>1088246.76</v>
      </c>
      <c r="J11" s="14">
        <f>2536+243572.64</f>
        <v>246108.64</v>
      </c>
      <c r="K11" s="14">
        <f>H11+I11-J11</f>
        <v>1633673.58</v>
      </c>
      <c r="L11" s="15">
        <f>+F11</f>
        <v>0.65848672886438075</v>
      </c>
      <c r="M11" s="163"/>
      <c r="N11" s="62">
        <f>+K11-G11</f>
        <v>0</v>
      </c>
      <c r="O11" s="214">
        <f>+N11+N12</f>
        <v>0</v>
      </c>
      <c r="P11" s="153"/>
      <c r="Q11" s="142"/>
    </row>
    <row r="12" spans="1:17" x14ac:dyDescent="0.2">
      <c r="A12" s="139" t="s">
        <v>20</v>
      </c>
      <c r="B12" s="14">
        <v>25163492</v>
      </c>
      <c r="C12" s="11">
        <v>9578275.4600000009</v>
      </c>
      <c r="D12" s="11">
        <v>0</v>
      </c>
      <c r="E12" s="14">
        <v>8802542.6400000006</v>
      </c>
      <c r="F12" s="14">
        <f t="shared" ref="F12:F17" si="1">+E12/C12</f>
        <v>0.91901122250664524</v>
      </c>
      <c r="G12" s="14">
        <f t="shared" si="0"/>
        <v>775732.8200000003</v>
      </c>
      <c r="H12" s="11">
        <f>30000+490093.36</f>
        <v>520093.36</v>
      </c>
      <c r="I12" s="14">
        <f>423394.8+32956.8</f>
        <v>456351.6</v>
      </c>
      <c r="J12" s="14">
        <f>128150-2000+74562.14</f>
        <v>200712.14</v>
      </c>
      <c r="K12" s="14">
        <f t="shared" ref="K12:K20" si="2">H12+I12-J12</f>
        <v>775732.82</v>
      </c>
      <c r="L12" s="15">
        <f t="shared" ref="L12:L22" si="3">+F12</f>
        <v>0.91901122250664524</v>
      </c>
      <c r="M12" s="163"/>
      <c r="N12" s="62">
        <f>+K12-G12</f>
        <v>0</v>
      </c>
      <c r="O12" s="211"/>
      <c r="P12" s="151"/>
    </row>
    <row r="13" spans="1:17" x14ac:dyDescent="0.2">
      <c r="A13" s="139" t="s">
        <v>21</v>
      </c>
      <c r="B13" s="14">
        <v>185773</v>
      </c>
      <c r="C13" s="11">
        <v>146938.59</v>
      </c>
      <c r="D13" s="11">
        <v>0</v>
      </c>
      <c r="E13" s="11">
        <v>0</v>
      </c>
      <c r="F13" s="14">
        <f t="shared" si="1"/>
        <v>0</v>
      </c>
      <c r="G13" s="14">
        <f t="shared" si="0"/>
        <v>146938.59</v>
      </c>
      <c r="H13" s="11">
        <v>146948.59</v>
      </c>
      <c r="I13" s="14">
        <v>0</v>
      </c>
      <c r="J13" s="14">
        <v>10</v>
      </c>
      <c r="K13" s="14">
        <f t="shared" si="2"/>
        <v>146938.59</v>
      </c>
      <c r="L13" s="15">
        <f t="shared" si="3"/>
        <v>0</v>
      </c>
      <c r="M13" s="163"/>
      <c r="N13" s="62">
        <f>+K13-G13</f>
        <v>0</v>
      </c>
      <c r="O13" s="210"/>
    </row>
    <row r="14" spans="1:17" x14ac:dyDescent="0.2">
      <c r="A14" s="139" t="s">
        <v>22</v>
      </c>
      <c r="B14" s="14">
        <v>388669</v>
      </c>
      <c r="C14" s="11">
        <v>222052.66</v>
      </c>
      <c r="D14" s="11">
        <v>0</v>
      </c>
      <c r="E14" s="11">
        <v>0</v>
      </c>
      <c r="F14" s="14">
        <f t="shared" si="1"/>
        <v>0</v>
      </c>
      <c r="G14" s="14">
        <f t="shared" si="0"/>
        <v>222052.66</v>
      </c>
      <c r="H14" s="11">
        <v>222062.66</v>
      </c>
      <c r="I14" s="14">
        <v>0</v>
      </c>
      <c r="J14" s="14">
        <v>10</v>
      </c>
      <c r="K14" s="14">
        <f t="shared" si="2"/>
        <v>222052.66</v>
      </c>
      <c r="L14" s="15">
        <f t="shared" si="3"/>
        <v>0</v>
      </c>
      <c r="M14" s="163"/>
      <c r="N14" s="62">
        <f>+K14-G14</f>
        <v>0</v>
      </c>
      <c r="O14" s="210"/>
    </row>
    <row r="15" spans="1:17" x14ac:dyDescent="0.2">
      <c r="A15" s="139" t="s">
        <v>23</v>
      </c>
      <c r="B15" s="14">
        <v>1307315</v>
      </c>
      <c r="C15" s="11">
        <v>447732.45</v>
      </c>
      <c r="D15" s="11">
        <v>0</v>
      </c>
      <c r="E15" s="11">
        <v>121900.29</v>
      </c>
      <c r="F15" s="14">
        <f t="shared" si="1"/>
        <v>0.27226145882434921</v>
      </c>
      <c r="G15" s="14">
        <f t="shared" si="0"/>
        <v>325832.16000000003</v>
      </c>
      <c r="H15" s="11">
        <v>325842.15999999997</v>
      </c>
      <c r="I15" s="14">
        <v>0</v>
      </c>
      <c r="J15" s="14">
        <v>10</v>
      </c>
      <c r="K15" s="14">
        <f t="shared" si="2"/>
        <v>325832.15999999997</v>
      </c>
      <c r="L15" s="15">
        <f t="shared" si="3"/>
        <v>0.27226145882434921</v>
      </c>
      <c r="M15" s="163"/>
      <c r="N15" s="62">
        <f t="shared" ref="N15:N20" si="4">+K15-G15</f>
        <v>0</v>
      </c>
      <c r="O15" s="210"/>
    </row>
    <row r="16" spans="1:17" x14ac:dyDescent="0.2">
      <c r="A16" s="139" t="s">
        <v>24</v>
      </c>
      <c r="B16" s="14">
        <v>14002815</v>
      </c>
      <c r="C16" s="11">
        <v>5038809.84</v>
      </c>
      <c r="D16" s="11">
        <v>0</v>
      </c>
      <c r="E16" s="14">
        <v>4458572.8899999997</v>
      </c>
      <c r="F16" s="14">
        <f t="shared" si="1"/>
        <v>0.88484642833832361</v>
      </c>
      <c r="G16" s="14">
        <f t="shared" si="0"/>
        <v>580236.95000000019</v>
      </c>
      <c r="H16" s="11">
        <v>1593275.59</v>
      </c>
      <c r="I16" s="14">
        <f>112998.14+10250</f>
        <v>123248.14</v>
      </c>
      <c r="J16" s="14">
        <f>57368+2000+1076918.78</f>
        <v>1136286.78</v>
      </c>
      <c r="K16" s="14">
        <f t="shared" si="2"/>
        <v>580236.94999999995</v>
      </c>
      <c r="L16" s="15">
        <f t="shared" si="3"/>
        <v>0.88484642833832361</v>
      </c>
      <c r="M16" s="163"/>
      <c r="N16" s="62">
        <f t="shared" si="4"/>
        <v>0</v>
      </c>
      <c r="O16" s="210"/>
      <c r="P16" s="151"/>
    </row>
    <row r="17" spans="1:19" x14ac:dyDescent="0.2">
      <c r="A17" s="139" t="s">
        <v>25</v>
      </c>
      <c r="B17" s="14">
        <v>463393</v>
      </c>
      <c r="C17" s="11">
        <v>404787.49</v>
      </c>
      <c r="D17" s="11">
        <v>0</v>
      </c>
      <c r="E17" s="14">
        <v>48968.2</v>
      </c>
      <c r="F17" s="14">
        <f t="shared" si="1"/>
        <v>0.12097261207355987</v>
      </c>
      <c r="G17" s="14">
        <f t="shared" si="0"/>
        <v>355819.29</v>
      </c>
      <c r="H17" s="11">
        <v>304114.42</v>
      </c>
      <c r="I17" s="14">
        <v>51714.87</v>
      </c>
      <c r="J17" s="14">
        <v>10</v>
      </c>
      <c r="K17" s="14">
        <f t="shared" si="2"/>
        <v>355819.29</v>
      </c>
      <c r="L17" s="15">
        <f t="shared" si="3"/>
        <v>0.12097261207355987</v>
      </c>
      <c r="M17" s="163"/>
      <c r="N17" s="62">
        <f t="shared" si="4"/>
        <v>0</v>
      </c>
      <c r="O17" s="210"/>
    </row>
    <row r="18" spans="1:19" x14ac:dyDescent="0.2">
      <c r="A18" s="139" t="s">
        <v>53</v>
      </c>
      <c r="B18" s="14">
        <v>0</v>
      </c>
      <c r="C18" s="11">
        <v>317613.78999999998</v>
      </c>
      <c r="D18" s="11">
        <v>0</v>
      </c>
      <c r="E18" s="11">
        <v>0</v>
      </c>
      <c r="F18" s="14">
        <v>0</v>
      </c>
      <c r="G18" s="14">
        <f t="shared" si="0"/>
        <v>317613.78999999998</v>
      </c>
      <c r="H18" s="11">
        <v>317613.78999999998</v>
      </c>
      <c r="I18" s="14">
        <v>0</v>
      </c>
      <c r="J18" s="14">
        <v>0</v>
      </c>
      <c r="K18" s="14">
        <f t="shared" si="2"/>
        <v>317613.78999999998</v>
      </c>
      <c r="L18" s="15">
        <f t="shared" si="3"/>
        <v>0</v>
      </c>
      <c r="M18" s="163"/>
      <c r="N18" s="62">
        <f t="shared" si="4"/>
        <v>0</v>
      </c>
      <c r="O18" s="210"/>
    </row>
    <row r="19" spans="1:19" x14ac:dyDescent="0.2">
      <c r="A19" s="139" t="s">
        <v>27</v>
      </c>
      <c r="B19" s="14">
        <v>0</v>
      </c>
      <c r="C19" s="11">
        <v>0</v>
      </c>
      <c r="D19" s="11">
        <v>0</v>
      </c>
      <c r="E19" s="11">
        <v>0</v>
      </c>
      <c r="F19" s="14">
        <v>0</v>
      </c>
      <c r="G19" s="14">
        <f t="shared" si="0"/>
        <v>0</v>
      </c>
      <c r="H19" s="11">
        <v>0</v>
      </c>
      <c r="I19" s="14">
        <v>0</v>
      </c>
      <c r="J19" s="14">
        <v>0</v>
      </c>
      <c r="K19" s="14">
        <f t="shared" si="2"/>
        <v>0</v>
      </c>
      <c r="L19" s="15">
        <f t="shared" si="3"/>
        <v>0</v>
      </c>
      <c r="M19" s="163"/>
      <c r="N19" s="62">
        <f t="shared" si="4"/>
        <v>0</v>
      </c>
      <c r="O19" s="210"/>
    </row>
    <row r="20" spans="1:19" x14ac:dyDescent="0.2">
      <c r="A20" s="139" t="s">
        <v>28</v>
      </c>
      <c r="B20" s="14">
        <v>47686</v>
      </c>
      <c r="C20" s="11">
        <v>20003.52</v>
      </c>
      <c r="D20" s="11">
        <v>0</v>
      </c>
      <c r="E20" s="11">
        <v>0</v>
      </c>
      <c r="F20" s="14">
        <v>0</v>
      </c>
      <c r="G20" s="14">
        <f t="shared" si="0"/>
        <v>20003.52</v>
      </c>
      <c r="H20" s="11">
        <v>20013.52</v>
      </c>
      <c r="I20" s="14">
        <v>0</v>
      </c>
      <c r="J20" s="14">
        <v>10</v>
      </c>
      <c r="K20" s="14">
        <f t="shared" si="2"/>
        <v>20003.52</v>
      </c>
      <c r="L20" s="15">
        <f t="shared" si="3"/>
        <v>0</v>
      </c>
      <c r="M20" s="163"/>
      <c r="N20" s="62">
        <f t="shared" si="4"/>
        <v>0</v>
      </c>
      <c r="O20" s="212"/>
    </row>
    <row r="21" spans="1:19" x14ac:dyDescent="0.2">
      <c r="A21" s="139" t="s">
        <v>29</v>
      </c>
      <c r="B21" s="14">
        <v>27972730</v>
      </c>
      <c r="C21" s="11">
        <v>11743224</v>
      </c>
      <c r="D21" s="11">
        <v>9691.01</v>
      </c>
      <c r="E21" s="11">
        <v>0</v>
      </c>
      <c r="F21" s="14">
        <f>+E21/C21</f>
        <v>0</v>
      </c>
      <c r="G21" s="14">
        <f t="shared" si="0"/>
        <v>11752915.01</v>
      </c>
      <c r="H21" s="11">
        <v>11752925.01</v>
      </c>
      <c r="I21" s="14">
        <v>0</v>
      </c>
      <c r="J21" s="14">
        <v>10</v>
      </c>
      <c r="K21" s="14">
        <f>H21+I21-J21</f>
        <v>11752915.01</v>
      </c>
      <c r="L21" s="15">
        <f t="shared" si="3"/>
        <v>0</v>
      </c>
      <c r="M21" s="163"/>
      <c r="N21" s="62">
        <f>+K21-G21</f>
        <v>0</v>
      </c>
      <c r="O21" s="212"/>
    </row>
    <row r="22" spans="1:19" x14ac:dyDescent="0.2">
      <c r="A22" s="139" t="s">
        <v>30</v>
      </c>
      <c r="B22" s="14">
        <v>21170980</v>
      </c>
      <c r="C22" s="11">
        <v>7689031.8799999999</v>
      </c>
      <c r="D22" s="11">
        <v>0</v>
      </c>
      <c r="E22" s="14">
        <v>6741815.8300000001</v>
      </c>
      <c r="F22" s="14">
        <f>+E22/C22</f>
        <v>0.87680945211531625</v>
      </c>
      <c r="G22" s="14">
        <f t="shared" si="0"/>
        <v>947216.04999999981</v>
      </c>
      <c r="H22" s="11">
        <v>2016294.77</v>
      </c>
      <c r="I22" s="14">
        <f>19182.99+25370</f>
        <v>44552.990000000005</v>
      </c>
      <c r="J22" s="14">
        <f>18915+1094716.71</f>
        <v>1113631.71</v>
      </c>
      <c r="K22" s="14">
        <f>H22+I22-J22</f>
        <v>947216.05</v>
      </c>
      <c r="L22" s="15">
        <f t="shared" si="3"/>
        <v>0.87680945211531625</v>
      </c>
      <c r="M22" s="163"/>
      <c r="N22" s="107">
        <f>+K22-G22</f>
        <v>0</v>
      </c>
      <c r="O22" s="213"/>
      <c r="R22" s="141"/>
      <c r="S22" s="144"/>
    </row>
    <row r="23" spans="1:19" x14ac:dyDescent="0.2">
      <c r="A23" s="139" t="s">
        <v>57</v>
      </c>
      <c r="B23" s="14">
        <v>0</v>
      </c>
      <c r="C23" s="11">
        <v>741747.52</v>
      </c>
      <c r="D23" s="11">
        <v>293.99</v>
      </c>
      <c r="E23" s="14">
        <v>0</v>
      </c>
      <c r="F23" s="14">
        <f>+E23/C23</f>
        <v>0</v>
      </c>
      <c r="G23" s="14">
        <f>+C23+D23-E23</f>
        <v>742041.51</v>
      </c>
      <c r="H23" s="11">
        <v>747041.51</v>
      </c>
      <c r="I23" s="14">
        <v>0</v>
      </c>
      <c r="J23" s="14">
        <v>5000</v>
      </c>
      <c r="K23" s="14">
        <f>H23+I23-J23</f>
        <v>742041.51</v>
      </c>
      <c r="L23" s="15">
        <f>+F23</f>
        <v>0</v>
      </c>
      <c r="M23" s="163"/>
      <c r="N23" s="107">
        <f>+K23-G23</f>
        <v>0</v>
      </c>
      <c r="O23" s="213"/>
      <c r="R23" s="141"/>
      <c r="S23" s="144"/>
    </row>
    <row r="24" spans="1:19" s="5" customFormat="1" x14ac:dyDescent="0.2">
      <c r="A24" s="20" t="s">
        <v>60</v>
      </c>
      <c r="B24" s="21">
        <f>SUM(B11:B23)</f>
        <v>105259250.63</v>
      </c>
      <c r="C24" s="21">
        <f>SUM(C11:C23)</f>
        <v>41133848.520000003</v>
      </c>
      <c r="D24" s="21">
        <f t="shared" ref="D24:K24" si="5">SUM(D11:D22)</f>
        <v>9691.01</v>
      </c>
      <c r="E24" s="21">
        <f t="shared" si="5"/>
        <v>23323757.589999996</v>
      </c>
      <c r="F24" s="21">
        <f t="shared" si="5"/>
        <v>3.732387902722575</v>
      </c>
      <c r="G24" s="21">
        <f t="shared" si="5"/>
        <v>17078034.420000002</v>
      </c>
      <c r="H24" s="21">
        <f t="shared" si="5"/>
        <v>18010719.329999998</v>
      </c>
      <c r="I24" s="21">
        <f t="shared" si="5"/>
        <v>1764114.3599999999</v>
      </c>
      <c r="J24" s="21">
        <f t="shared" si="5"/>
        <v>2696799.27</v>
      </c>
      <c r="K24" s="21">
        <f t="shared" si="5"/>
        <v>17078034.419999998</v>
      </c>
      <c r="L24" s="23"/>
      <c r="M24" s="164"/>
      <c r="N24" s="118">
        <f>SUM(N11:N22)</f>
        <v>0</v>
      </c>
      <c r="O24" s="203"/>
      <c r="P24" s="143"/>
      <c r="Q24" s="143"/>
    </row>
    <row r="25" spans="1:19" s="17" customFormat="1" x14ac:dyDescent="0.25">
      <c r="A25" s="139" t="s">
        <v>18</v>
      </c>
      <c r="B25" s="10">
        <v>9668787.5</v>
      </c>
      <c r="C25" s="10">
        <f>+B25-8808992.11</f>
        <v>859795.3900000006</v>
      </c>
      <c r="D25" s="11">
        <v>0</v>
      </c>
      <c r="E25" s="10">
        <v>126202.22</v>
      </c>
      <c r="F25" s="12">
        <f>+E25/C25</f>
        <v>0.14678168953662327</v>
      </c>
      <c r="G25" s="109">
        <f t="shared" ref="G25:G38" si="6">+C25+D25-E25</f>
        <v>733593.17000000062</v>
      </c>
      <c r="H25" s="11">
        <v>760336.44</v>
      </c>
      <c r="I25" s="14">
        <f>35750.7+49054.32+10000+17400</f>
        <v>112205.01999999999</v>
      </c>
      <c r="J25" s="14">
        <f>42293+3275.91+3277.52+90101.86</f>
        <v>138948.29</v>
      </c>
      <c r="K25" s="14">
        <f>H25+I25-J25</f>
        <v>733593.16999999993</v>
      </c>
      <c r="L25" s="15">
        <f>+F25</f>
        <v>0.14678168953662327</v>
      </c>
      <c r="M25" s="163"/>
      <c r="N25" s="62">
        <f t="shared" ref="N25:N38" si="7">+K25-G25</f>
        <v>0</v>
      </c>
      <c r="O25" s="188"/>
      <c r="P25" s="153"/>
      <c r="Q25" s="142"/>
    </row>
    <row r="26" spans="1:19" x14ac:dyDescent="0.2">
      <c r="A26" s="139" t="s">
        <v>20</v>
      </c>
      <c r="B26" s="10">
        <v>27138333.23</v>
      </c>
      <c r="C26" s="10">
        <f>+B26-26415966.23</f>
        <v>722367</v>
      </c>
      <c r="D26" s="11">
        <v>0</v>
      </c>
      <c r="E26" s="10">
        <v>827988.6</v>
      </c>
      <c r="F26" s="12">
        <f t="shared" ref="F26:F31" si="8">+E26/C26</f>
        <v>1.1462159816270676</v>
      </c>
      <c r="G26" s="10">
        <f t="shared" si="6"/>
        <v>-105621.59999999998</v>
      </c>
      <c r="H26" s="13">
        <v>1247074.73</v>
      </c>
      <c r="I26" s="14">
        <f>171846+1000</f>
        <v>172846</v>
      </c>
      <c r="J26" s="14">
        <f>1307677+16708.93+21550.06+179606.34</f>
        <v>1525542.33</v>
      </c>
      <c r="K26" s="14">
        <f t="shared" ref="K26:K33" si="9">H26+I26-J26</f>
        <v>-105621.60000000009</v>
      </c>
      <c r="L26" s="15">
        <f t="shared" ref="L26:L38" si="10">+F26</f>
        <v>1.1462159816270676</v>
      </c>
      <c r="M26" s="163"/>
      <c r="N26" s="62">
        <f t="shared" si="7"/>
        <v>-1.1641532182693481E-10</v>
      </c>
      <c r="O26" s="184"/>
      <c r="P26" s="151"/>
    </row>
    <row r="27" spans="1:19" x14ac:dyDescent="0.2">
      <c r="A27" s="139" t="s">
        <v>21</v>
      </c>
      <c r="B27" s="10">
        <v>321506.03999999998</v>
      </c>
      <c r="C27" s="10">
        <f>+B27-280892.37</f>
        <v>40613.669999999984</v>
      </c>
      <c r="D27" s="11">
        <v>0</v>
      </c>
      <c r="E27" s="11">
        <v>40613.67</v>
      </c>
      <c r="F27" s="12">
        <f t="shared" si="8"/>
        <v>1.0000000000000004</v>
      </c>
      <c r="G27" s="109">
        <f t="shared" si="6"/>
        <v>0</v>
      </c>
      <c r="H27" s="13">
        <v>0</v>
      </c>
      <c r="I27" s="14">
        <v>0</v>
      </c>
      <c r="J27" s="14">
        <v>0</v>
      </c>
      <c r="K27" s="14">
        <f t="shared" si="9"/>
        <v>0</v>
      </c>
      <c r="L27" s="15">
        <f t="shared" si="10"/>
        <v>1.0000000000000004</v>
      </c>
      <c r="M27" s="163"/>
      <c r="N27" s="62">
        <f t="shared" si="7"/>
        <v>0</v>
      </c>
      <c r="O27" s="183"/>
    </row>
    <row r="28" spans="1:19" x14ac:dyDescent="0.2">
      <c r="A28" s="139" t="s">
        <v>22</v>
      </c>
      <c r="B28" s="10">
        <v>570803.89</v>
      </c>
      <c r="C28" s="10">
        <f>+B28-491970.23</f>
        <v>78833.660000000033</v>
      </c>
      <c r="D28" s="11">
        <v>0</v>
      </c>
      <c r="E28" s="11">
        <v>78833.66</v>
      </c>
      <c r="F28" s="12">
        <f t="shared" si="8"/>
        <v>0.99999999999999967</v>
      </c>
      <c r="G28" s="109">
        <f t="shared" si="6"/>
        <v>0</v>
      </c>
      <c r="H28" s="13">
        <v>0</v>
      </c>
      <c r="I28" s="14">
        <v>0</v>
      </c>
      <c r="J28" s="14">
        <v>0</v>
      </c>
      <c r="K28" s="14">
        <f t="shared" si="9"/>
        <v>0</v>
      </c>
      <c r="L28" s="15">
        <f t="shared" si="10"/>
        <v>0.99999999999999967</v>
      </c>
      <c r="M28" s="163"/>
      <c r="N28" s="62">
        <f t="shared" si="7"/>
        <v>0</v>
      </c>
      <c r="O28" s="183"/>
    </row>
    <row r="29" spans="1:19" x14ac:dyDescent="0.2">
      <c r="A29" s="139" t="s">
        <v>23</v>
      </c>
      <c r="B29" s="10">
        <v>1307693.44</v>
      </c>
      <c r="C29" s="10">
        <f>+B29-1273287.15</f>
        <v>34406.290000000037</v>
      </c>
      <c r="D29" s="11">
        <v>0</v>
      </c>
      <c r="E29" s="11">
        <v>34406.29</v>
      </c>
      <c r="F29" s="12">
        <f t="shared" si="8"/>
        <v>0.99999999999999889</v>
      </c>
      <c r="G29" s="109">
        <f t="shared" si="6"/>
        <v>0</v>
      </c>
      <c r="H29" s="13">
        <v>0</v>
      </c>
      <c r="I29" s="14">
        <v>0</v>
      </c>
      <c r="J29" s="14">
        <v>0</v>
      </c>
      <c r="K29" s="14">
        <f t="shared" si="9"/>
        <v>0</v>
      </c>
      <c r="L29" s="15">
        <f t="shared" si="10"/>
        <v>0.99999999999999889</v>
      </c>
      <c r="M29" s="163"/>
      <c r="N29" s="62">
        <f t="shared" si="7"/>
        <v>0</v>
      </c>
      <c r="O29" s="183"/>
    </row>
    <row r="30" spans="1:19" x14ac:dyDescent="0.2">
      <c r="A30" s="139" t="s">
        <v>24</v>
      </c>
      <c r="B30" s="10">
        <v>14234360.859999999</v>
      </c>
      <c r="C30" s="10">
        <f>+B30-14197791.76</f>
        <v>36569.099999999627</v>
      </c>
      <c r="D30" s="11">
        <v>0</v>
      </c>
      <c r="E30" s="10">
        <v>208.8</v>
      </c>
      <c r="F30" s="12">
        <f t="shared" si="8"/>
        <v>5.7097385497592813E-3</v>
      </c>
      <c r="G30" s="109">
        <f t="shared" si="6"/>
        <v>36360.299999999625</v>
      </c>
      <c r="H30" s="13">
        <v>-340080.7</v>
      </c>
      <c r="I30" s="14">
        <v>782752</v>
      </c>
      <c r="J30" s="14">
        <f>280823+125488</f>
        <v>406311</v>
      </c>
      <c r="K30" s="14">
        <f t="shared" si="9"/>
        <v>36360.299999999988</v>
      </c>
      <c r="L30" s="15">
        <f t="shared" si="10"/>
        <v>5.7097385497592813E-3</v>
      </c>
      <c r="M30" s="163"/>
      <c r="N30" s="62">
        <f t="shared" si="7"/>
        <v>3.637978807091713E-10</v>
      </c>
      <c r="O30" s="183"/>
      <c r="P30" s="151"/>
    </row>
    <row r="31" spans="1:19" x14ac:dyDescent="0.2">
      <c r="A31" s="139" t="s">
        <v>25</v>
      </c>
      <c r="B31" s="10">
        <v>658261.61</v>
      </c>
      <c r="C31" s="10">
        <f>+B31-367499.68</f>
        <v>290761.93</v>
      </c>
      <c r="D31" s="11">
        <v>0</v>
      </c>
      <c r="E31" s="10">
        <v>281389.86</v>
      </c>
      <c r="F31" s="12">
        <f t="shared" si="8"/>
        <v>0.96776720391146109</v>
      </c>
      <c r="G31" s="109">
        <f t="shared" si="6"/>
        <v>9372.070000000007</v>
      </c>
      <c r="H31" s="13">
        <v>56340.94</v>
      </c>
      <c r="I31" s="14">
        <v>0</v>
      </c>
      <c r="J31" s="14">
        <v>46968.87</v>
      </c>
      <c r="K31" s="14">
        <f t="shared" si="9"/>
        <v>9372.07</v>
      </c>
      <c r="L31" s="15">
        <f t="shared" si="10"/>
        <v>0.96776720391146109</v>
      </c>
      <c r="M31" s="163"/>
      <c r="N31" s="62">
        <f t="shared" si="7"/>
        <v>0</v>
      </c>
      <c r="O31" s="183"/>
    </row>
    <row r="32" spans="1:19" x14ac:dyDescent="0.2">
      <c r="A32" s="139" t="s">
        <v>53</v>
      </c>
      <c r="B32" s="10">
        <v>158979.12</v>
      </c>
      <c r="C32" s="10">
        <f>+B32</f>
        <v>158979.12</v>
      </c>
      <c r="D32" s="11">
        <v>0</v>
      </c>
      <c r="E32" s="11">
        <v>120000</v>
      </c>
      <c r="F32" s="12">
        <v>0</v>
      </c>
      <c r="G32" s="201">
        <f t="shared" si="6"/>
        <v>38979.119999999995</v>
      </c>
      <c r="H32" s="11">
        <v>43979.12</v>
      </c>
      <c r="I32" s="14">
        <v>0</v>
      </c>
      <c r="J32" s="14">
        <v>5000</v>
      </c>
      <c r="K32" s="14">
        <f t="shared" si="9"/>
        <v>38979.120000000003</v>
      </c>
      <c r="L32" s="15">
        <f t="shared" si="10"/>
        <v>0</v>
      </c>
      <c r="M32" s="163"/>
      <c r="N32" s="62">
        <f t="shared" si="7"/>
        <v>0</v>
      </c>
      <c r="O32" s="183"/>
    </row>
    <row r="33" spans="1:19" x14ac:dyDescent="0.2">
      <c r="A33" s="139" t="s">
        <v>28</v>
      </c>
      <c r="B33" s="10">
        <v>47798.07</v>
      </c>
      <c r="C33" s="10">
        <f>+B33-23516.14</f>
        <v>24281.93</v>
      </c>
      <c r="D33" s="11">
        <v>0</v>
      </c>
      <c r="E33" s="11">
        <v>0</v>
      </c>
      <c r="F33" s="12">
        <v>0</v>
      </c>
      <c r="G33" s="201">
        <f t="shared" si="6"/>
        <v>24281.93</v>
      </c>
      <c r="H33" s="11">
        <v>24281.93</v>
      </c>
      <c r="I33" s="14">
        <v>0</v>
      </c>
      <c r="J33" s="14">
        <v>0</v>
      </c>
      <c r="K33" s="14">
        <f t="shared" si="9"/>
        <v>24281.93</v>
      </c>
      <c r="L33" s="15">
        <f t="shared" si="10"/>
        <v>0</v>
      </c>
      <c r="M33" s="163"/>
      <c r="N33" s="62">
        <f t="shared" si="7"/>
        <v>0</v>
      </c>
      <c r="O33" s="152"/>
    </row>
    <row r="34" spans="1:19" x14ac:dyDescent="0.2">
      <c r="A34" s="139" t="s">
        <v>29</v>
      </c>
      <c r="B34" s="10">
        <v>27972730</v>
      </c>
      <c r="C34" s="10">
        <f>+B34-27809818.06</f>
        <v>162911.94000000134</v>
      </c>
      <c r="D34" s="11">
        <v>186451.15</v>
      </c>
      <c r="E34" s="11">
        <v>0</v>
      </c>
      <c r="F34" s="12">
        <f>+E34/C34</f>
        <v>0</v>
      </c>
      <c r="G34" s="109">
        <f t="shared" si="6"/>
        <v>349363.09000000136</v>
      </c>
      <c r="H34" s="13">
        <v>656033.13</v>
      </c>
      <c r="I34" s="14">
        <f>-1</f>
        <v>-1</v>
      </c>
      <c r="J34" s="14">
        <f>219666.96+67322.53+19679.55</f>
        <v>306669.03999999998</v>
      </c>
      <c r="K34" s="14">
        <f>H34+I34-J34</f>
        <v>349363.09</v>
      </c>
      <c r="L34" s="15">
        <f t="shared" si="10"/>
        <v>0</v>
      </c>
      <c r="M34" s="163"/>
      <c r="N34" s="62">
        <f t="shared" si="7"/>
        <v>-1.3387762010097504E-9</v>
      </c>
      <c r="O34" s="184"/>
    </row>
    <row r="35" spans="1:19" x14ac:dyDescent="0.2">
      <c r="A35" s="139" t="s">
        <v>30</v>
      </c>
      <c r="B35" s="10">
        <v>21170988.52</v>
      </c>
      <c r="C35" s="10">
        <f>+B35-21163370.79</f>
        <v>7617.730000000447</v>
      </c>
      <c r="D35" s="11">
        <v>0</v>
      </c>
      <c r="E35" s="10">
        <v>0</v>
      </c>
      <c r="F35" s="12">
        <f>+E35/C35</f>
        <v>0</v>
      </c>
      <c r="G35" s="109">
        <f t="shared" si="6"/>
        <v>7617.730000000447</v>
      </c>
      <c r="H35" s="13">
        <v>113156.96</v>
      </c>
      <c r="I35" s="14">
        <f>63664.06+25043.71</f>
        <v>88707.76999999999</v>
      </c>
      <c r="J35" s="14">
        <f>170257+6000+17990</f>
        <v>194247</v>
      </c>
      <c r="K35" s="14">
        <f>H35+I35-J35</f>
        <v>7617.7299999999814</v>
      </c>
      <c r="L35" s="15">
        <f t="shared" si="10"/>
        <v>0</v>
      </c>
      <c r="M35" s="163"/>
      <c r="N35" s="107">
        <f t="shared" si="7"/>
        <v>-4.6566128730773926E-10</v>
      </c>
      <c r="O35" s="185"/>
      <c r="R35" s="141"/>
      <c r="S35" s="144"/>
    </row>
    <row r="36" spans="1:19" ht="27" x14ac:dyDescent="0.2">
      <c r="A36" s="139" t="s">
        <v>56</v>
      </c>
      <c r="B36" s="10">
        <v>1500000</v>
      </c>
      <c r="C36" s="10">
        <f>1500000-1499965.2</f>
        <v>34.800000000046566</v>
      </c>
      <c r="D36" s="11">
        <v>0</v>
      </c>
      <c r="E36" s="10">
        <v>0</v>
      </c>
      <c r="F36" s="12">
        <f>+E36/C36</f>
        <v>0</v>
      </c>
      <c r="G36" s="109">
        <f t="shared" si="6"/>
        <v>34.800000000046566</v>
      </c>
      <c r="H36" s="13">
        <v>34.799999999999997</v>
      </c>
      <c r="I36" s="14">
        <v>0</v>
      </c>
      <c r="J36" s="14">
        <v>0</v>
      </c>
      <c r="K36" s="14">
        <f>H36+I36-J36</f>
        <v>34.799999999999997</v>
      </c>
      <c r="L36" s="15">
        <f t="shared" si="10"/>
        <v>0</v>
      </c>
      <c r="M36" s="163"/>
      <c r="N36" s="107">
        <f t="shared" si="7"/>
        <v>-4.6568970901716966E-11</v>
      </c>
      <c r="O36" s="185"/>
      <c r="R36" s="141"/>
      <c r="S36" s="144"/>
    </row>
    <row r="37" spans="1:19" x14ac:dyDescent="0.2">
      <c r="A37" s="139" t="s">
        <v>58</v>
      </c>
      <c r="B37" s="10">
        <v>8800000</v>
      </c>
      <c r="C37" s="10">
        <f>+B37-8793327.97</f>
        <v>6672.0299999993294</v>
      </c>
      <c r="D37" s="11">
        <v>0</v>
      </c>
      <c r="E37" s="10">
        <v>0</v>
      </c>
      <c r="F37" s="12">
        <f>+E37/C37</f>
        <v>0</v>
      </c>
      <c r="G37" s="109">
        <f t="shared" si="6"/>
        <v>6672.0299999993294</v>
      </c>
      <c r="H37" s="13">
        <v>136749.53</v>
      </c>
      <c r="I37" s="14">
        <v>0</v>
      </c>
      <c r="J37" s="14">
        <f>75804.55+37902.27+11370.68+5000</f>
        <v>130077.5</v>
      </c>
      <c r="K37" s="14">
        <f>H37+I37-J37</f>
        <v>6672.0299999999988</v>
      </c>
      <c r="L37" s="15">
        <f t="shared" si="10"/>
        <v>0</v>
      </c>
      <c r="M37" s="163"/>
      <c r="N37" s="107">
        <f t="shared" si="7"/>
        <v>6.6938810050487518E-10</v>
      </c>
      <c r="O37" s="185"/>
      <c r="R37" s="141"/>
      <c r="S37" s="144"/>
    </row>
    <row r="38" spans="1:19" x14ac:dyDescent="0.2">
      <c r="A38" s="139" t="s">
        <v>57</v>
      </c>
      <c r="B38" s="10">
        <v>3362600</v>
      </c>
      <c r="C38" s="10">
        <f>+B38-3361389.36</f>
        <v>1210.6400000001304</v>
      </c>
      <c r="D38" s="11">
        <v>0</v>
      </c>
      <c r="E38" s="10">
        <v>0</v>
      </c>
      <c r="F38" s="12">
        <f>+E38/C38</f>
        <v>0</v>
      </c>
      <c r="G38" s="109">
        <f t="shared" si="6"/>
        <v>1210.6400000001304</v>
      </c>
      <c r="H38" s="13">
        <v>54023.49</v>
      </c>
      <c r="I38" s="14">
        <v>0</v>
      </c>
      <c r="J38" s="14">
        <f>28977.48+14488.74+4346.63+5000</f>
        <v>52812.85</v>
      </c>
      <c r="K38" s="14">
        <f>H38+I38-J38</f>
        <v>1210.6399999999994</v>
      </c>
      <c r="L38" s="15">
        <f t="shared" si="10"/>
        <v>0</v>
      </c>
      <c r="M38" s="163"/>
      <c r="N38" s="107">
        <f t="shared" si="7"/>
        <v>-1.3096723705530167E-10</v>
      </c>
      <c r="O38" s="185"/>
      <c r="R38" s="141"/>
      <c r="S38" s="144"/>
    </row>
    <row r="39" spans="1:19" s="5" customFormat="1" x14ac:dyDescent="0.2">
      <c r="A39" s="20" t="s">
        <v>51</v>
      </c>
      <c r="B39" s="21">
        <f t="shared" ref="B39:K39" si="11">SUM(B25:B35)</f>
        <v>103250242.27999999</v>
      </c>
      <c r="C39" s="21">
        <f t="shared" si="11"/>
        <v>2417137.7600000021</v>
      </c>
      <c r="D39" s="21">
        <f t="shared" si="11"/>
        <v>186451.15</v>
      </c>
      <c r="E39" s="21">
        <f t="shared" si="11"/>
        <v>1509643.1</v>
      </c>
      <c r="F39" s="21">
        <f t="shared" si="11"/>
        <v>5.2664746136249105</v>
      </c>
      <c r="G39" s="21">
        <f t="shared" si="11"/>
        <v>1093945.8100000019</v>
      </c>
      <c r="H39" s="21">
        <f t="shared" si="11"/>
        <v>2561122.5499999998</v>
      </c>
      <c r="I39" s="21">
        <f t="shared" si="11"/>
        <v>1156509.79</v>
      </c>
      <c r="J39" s="21">
        <f t="shared" si="11"/>
        <v>2623686.5300000003</v>
      </c>
      <c r="K39" s="21">
        <f t="shared" si="11"/>
        <v>1093945.8099999998</v>
      </c>
      <c r="L39" s="23"/>
      <c r="M39" s="164"/>
      <c r="N39" s="61"/>
      <c r="O39" s="203"/>
      <c r="P39" s="143"/>
      <c r="Q39" s="143"/>
    </row>
    <row r="40" spans="1:19" s="17" customFormat="1" x14ac:dyDescent="0.25">
      <c r="A40" s="139" t="s">
        <v>18</v>
      </c>
      <c r="B40" s="10">
        <f>+C40</f>
        <v>557287.6400000006</v>
      </c>
      <c r="C40" s="10">
        <f>9497181.34-8522902.7-416991</f>
        <v>557287.6400000006</v>
      </c>
      <c r="D40" s="11">
        <v>0</v>
      </c>
      <c r="E40" s="10">
        <v>2038.23</v>
      </c>
      <c r="F40" s="12">
        <f>+E40/C40</f>
        <v>3.657411099230548E-3</v>
      </c>
      <c r="G40" s="10">
        <f>+C40+D40-E40</f>
        <v>555249.41000000061</v>
      </c>
      <c r="H40" s="13">
        <f>362224.72-0.47</f>
        <v>362224.25</v>
      </c>
      <c r="I40" s="14">
        <f>22013.2+172259.48</f>
        <v>194272.68000000002</v>
      </c>
      <c r="J40" s="14">
        <f>-4302.52+5550.04</f>
        <v>1247.5199999999995</v>
      </c>
      <c r="K40" s="14">
        <f>H40+I40-J40</f>
        <v>555249.41</v>
      </c>
      <c r="L40" s="15">
        <f>+F40</f>
        <v>3.657411099230548E-3</v>
      </c>
      <c r="M40" s="163"/>
      <c r="N40" s="155">
        <f t="shared" ref="N40:N49" si="12">+K40-G40</f>
        <v>0</v>
      </c>
      <c r="O40" s="202"/>
      <c r="P40" s="142"/>
      <c r="Q40" s="142"/>
    </row>
    <row r="41" spans="1:19" x14ac:dyDescent="0.2">
      <c r="A41" s="139" t="s">
        <v>20</v>
      </c>
      <c r="B41" s="10">
        <v>0</v>
      </c>
      <c r="C41" s="10">
        <f>981063.54-174602.54</f>
        <v>806461</v>
      </c>
      <c r="D41" s="11">
        <v>0</v>
      </c>
      <c r="E41" s="10">
        <v>0</v>
      </c>
      <c r="F41" s="12">
        <f t="shared" ref="F41:F50" si="13">+E41/C41</f>
        <v>0</v>
      </c>
      <c r="G41" s="10">
        <f>+C41+D41-E41</f>
        <v>806461</v>
      </c>
      <c r="H41" s="13">
        <v>1795340.56</v>
      </c>
      <c r="I41" s="14">
        <v>1162</v>
      </c>
      <c r="J41" s="14">
        <f>272555.03+160187.53+557299</f>
        <v>990041.56</v>
      </c>
      <c r="K41" s="14">
        <f t="shared" ref="K41:K66" si="14">H41+I41-J41</f>
        <v>806461</v>
      </c>
      <c r="L41" s="15">
        <f t="shared" ref="L41:L50" si="15">+F41</f>
        <v>0</v>
      </c>
      <c r="M41" s="163"/>
      <c r="N41" s="62">
        <f>+K41-G41</f>
        <v>0</v>
      </c>
      <c r="O41" s="205"/>
    </row>
    <row r="42" spans="1:19" x14ac:dyDescent="0.2">
      <c r="A42" s="139" t="s">
        <v>21</v>
      </c>
      <c r="B42" s="10">
        <f t="shared" ref="B42:B50" si="16">+C42</f>
        <v>465.82999999998719</v>
      </c>
      <c r="C42" s="10">
        <f>266576.99-80893-185218.16</f>
        <v>465.82999999998719</v>
      </c>
      <c r="D42" s="11">
        <v>0</v>
      </c>
      <c r="E42" s="10">
        <v>0</v>
      </c>
      <c r="F42" s="12">
        <f t="shared" si="13"/>
        <v>0</v>
      </c>
      <c r="G42" s="10">
        <f>+C42+D42-E42</f>
        <v>465.82999999998719</v>
      </c>
      <c r="H42" s="13">
        <v>465.83</v>
      </c>
      <c r="I42" s="14">
        <v>0</v>
      </c>
      <c r="J42" s="14">
        <v>0</v>
      </c>
      <c r="K42" s="14">
        <f t="shared" si="14"/>
        <v>465.83</v>
      </c>
      <c r="L42" s="15">
        <f t="shared" si="15"/>
        <v>0</v>
      </c>
      <c r="M42" s="163"/>
      <c r="N42" s="155">
        <f t="shared" si="12"/>
        <v>1.2789769243681803E-11</v>
      </c>
      <c r="O42" s="183"/>
    </row>
    <row r="43" spans="1:19" x14ac:dyDescent="0.2">
      <c r="A43" s="139" t="s">
        <v>22</v>
      </c>
      <c r="B43" s="10">
        <f t="shared" si="16"/>
        <v>6067.4599999999627</v>
      </c>
      <c r="C43" s="10">
        <f>375412.66-201977-167368.2</f>
        <v>6067.4599999999627</v>
      </c>
      <c r="D43" s="10">
        <v>149.51</v>
      </c>
      <c r="E43" s="10">
        <v>0</v>
      </c>
      <c r="F43" s="12">
        <f t="shared" si="13"/>
        <v>0</v>
      </c>
      <c r="G43" s="10">
        <f t="shared" ref="G43:G48" si="17">+C43+D43-E43</f>
        <v>6216.969999999963</v>
      </c>
      <c r="H43" s="13">
        <v>6216.97</v>
      </c>
      <c r="I43" s="14">
        <v>0</v>
      </c>
      <c r="J43" s="14">
        <v>0</v>
      </c>
      <c r="K43" s="14">
        <f t="shared" si="14"/>
        <v>6216.97</v>
      </c>
      <c r="L43" s="15">
        <f t="shared" si="15"/>
        <v>0</v>
      </c>
      <c r="M43" s="163"/>
      <c r="N43" s="62">
        <f t="shared" si="12"/>
        <v>3.7289282772690058E-11</v>
      </c>
      <c r="O43" s="183"/>
    </row>
    <row r="44" spans="1:19" x14ac:dyDescent="0.2">
      <c r="A44" s="139" t="s">
        <v>23</v>
      </c>
      <c r="B44" s="10">
        <f t="shared" si="16"/>
        <v>17016.04999999993</v>
      </c>
      <c r="C44" s="10">
        <f>1302246.39-788192.61-497037.73</f>
        <v>17016.04999999993</v>
      </c>
      <c r="D44" s="10">
        <v>408.58</v>
      </c>
      <c r="E44" s="10">
        <v>0</v>
      </c>
      <c r="F44" s="12">
        <f t="shared" si="13"/>
        <v>0</v>
      </c>
      <c r="G44" s="10">
        <f t="shared" si="17"/>
        <v>17424.629999999932</v>
      </c>
      <c r="H44" s="13">
        <v>17424.63</v>
      </c>
      <c r="I44" s="14">
        <v>0</v>
      </c>
      <c r="J44" s="14">
        <v>0</v>
      </c>
      <c r="K44" s="14">
        <f t="shared" si="14"/>
        <v>17424.63</v>
      </c>
      <c r="L44" s="15">
        <f t="shared" si="15"/>
        <v>0</v>
      </c>
      <c r="M44" s="163"/>
      <c r="N44" s="155">
        <f t="shared" si="12"/>
        <v>6.9121597334742546E-11</v>
      </c>
      <c r="O44" s="183"/>
    </row>
    <row r="45" spans="1:19" x14ac:dyDescent="0.2">
      <c r="A45" s="139" t="s">
        <v>24</v>
      </c>
      <c r="B45" s="10">
        <f t="shared" si="16"/>
        <v>412246.5499999997</v>
      </c>
      <c r="C45" s="10">
        <f>13636634.35-13212786.17-11601.63</f>
        <v>412246.5499999997</v>
      </c>
      <c r="D45" s="11">
        <v>-459</v>
      </c>
      <c r="E45" s="10">
        <v>0</v>
      </c>
      <c r="F45" s="12">
        <f t="shared" si="13"/>
        <v>0</v>
      </c>
      <c r="G45" s="10">
        <f>+C45+D45-E45</f>
        <v>411787.5499999997</v>
      </c>
      <c r="H45" s="13">
        <v>37530.339999999997</v>
      </c>
      <c r="I45" s="14">
        <v>456237</v>
      </c>
      <c r="J45" s="14">
        <f>52394.42+7312.79+22272.58</f>
        <v>81979.790000000008</v>
      </c>
      <c r="K45" s="14">
        <f t="shared" si="14"/>
        <v>411787.54999999993</v>
      </c>
      <c r="L45" s="15">
        <f t="shared" si="15"/>
        <v>0</v>
      </c>
      <c r="M45" s="163"/>
      <c r="N45" s="62">
        <f t="shared" si="12"/>
        <v>0</v>
      </c>
      <c r="O45" s="183"/>
    </row>
    <row r="46" spans="1:19" x14ac:dyDescent="0.2">
      <c r="A46" s="139" t="s">
        <v>25</v>
      </c>
      <c r="B46" s="10">
        <f t="shared" si="16"/>
        <v>5151.3900000000722</v>
      </c>
      <c r="C46" s="10">
        <f>868753.03-542712.97-320888.67</f>
        <v>5151.3900000000722</v>
      </c>
      <c r="D46" s="10">
        <v>131.31</v>
      </c>
      <c r="E46" s="10">
        <v>0</v>
      </c>
      <c r="F46" s="12">
        <f t="shared" si="13"/>
        <v>0</v>
      </c>
      <c r="G46" s="10">
        <f t="shared" si="17"/>
        <v>5282.7000000000726</v>
      </c>
      <c r="H46" s="13">
        <v>5282.7</v>
      </c>
      <c r="I46" s="14">
        <v>0</v>
      </c>
      <c r="J46" s="14">
        <v>0</v>
      </c>
      <c r="K46" s="14">
        <f t="shared" si="14"/>
        <v>5282.7</v>
      </c>
      <c r="L46" s="15">
        <f t="shared" si="15"/>
        <v>0</v>
      </c>
      <c r="M46" s="163"/>
      <c r="N46" s="155">
        <f t="shared" si="12"/>
        <v>-7.2759576141834259E-11</v>
      </c>
      <c r="O46" s="183"/>
    </row>
    <row r="47" spans="1:19" x14ac:dyDescent="0.2">
      <c r="A47" s="139" t="s">
        <v>27</v>
      </c>
      <c r="B47" s="10">
        <f t="shared" si="16"/>
        <v>3767.3699999999953</v>
      </c>
      <c r="C47" s="10">
        <f>573447.69-569680.32</f>
        <v>3767.3699999999953</v>
      </c>
      <c r="D47" s="11">
        <v>0</v>
      </c>
      <c r="E47" s="10">
        <v>0</v>
      </c>
      <c r="F47" s="12">
        <f t="shared" si="13"/>
        <v>0</v>
      </c>
      <c r="G47" s="10">
        <f t="shared" si="17"/>
        <v>3767.3699999999953</v>
      </c>
      <c r="H47" s="13">
        <v>3767.37</v>
      </c>
      <c r="I47" s="14">
        <v>0</v>
      </c>
      <c r="J47" s="14">
        <v>0</v>
      </c>
      <c r="K47" s="14">
        <f t="shared" si="14"/>
        <v>3767.37</v>
      </c>
      <c r="L47" s="15">
        <f t="shared" si="15"/>
        <v>0</v>
      </c>
      <c r="M47" s="163"/>
      <c r="N47" s="62">
        <f t="shared" si="12"/>
        <v>4.5474735088646412E-12</v>
      </c>
      <c r="O47" s="183"/>
    </row>
    <row r="48" spans="1:19" x14ac:dyDescent="0.2">
      <c r="A48" s="139" t="s">
        <v>28</v>
      </c>
      <c r="B48" s="10">
        <f t="shared" si="16"/>
        <v>542.31999999999971</v>
      </c>
      <c r="C48" s="10">
        <f>36484.65-0-35942.33</f>
        <v>542.31999999999971</v>
      </c>
      <c r="D48" s="11">
        <v>0</v>
      </c>
      <c r="E48" s="10">
        <v>0</v>
      </c>
      <c r="F48" s="12">
        <f t="shared" si="13"/>
        <v>0</v>
      </c>
      <c r="G48" s="10">
        <f t="shared" si="17"/>
        <v>542.31999999999971</v>
      </c>
      <c r="H48" s="13">
        <v>542.32000000000005</v>
      </c>
      <c r="I48" s="14">
        <v>0</v>
      </c>
      <c r="J48" s="14">
        <v>0</v>
      </c>
      <c r="K48" s="14">
        <f t="shared" si="14"/>
        <v>542.32000000000005</v>
      </c>
      <c r="L48" s="15">
        <f t="shared" si="15"/>
        <v>0</v>
      </c>
      <c r="M48" s="163"/>
      <c r="N48" s="155">
        <f t="shared" si="12"/>
        <v>0</v>
      </c>
      <c r="O48" s="183"/>
    </row>
    <row r="49" spans="1:17" x14ac:dyDescent="0.2">
      <c r="A49" s="139" t="s">
        <v>29</v>
      </c>
      <c r="B49" s="10">
        <f>+C49</f>
        <v>489577.01999999862</v>
      </c>
      <c r="C49" s="10">
        <f>25804148.7-21535015.98-3779555.7</f>
        <v>489577.01999999862</v>
      </c>
      <c r="D49" s="45"/>
      <c r="E49" s="10">
        <v>0</v>
      </c>
      <c r="F49" s="12">
        <f t="shared" si="13"/>
        <v>0</v>
      </c>
      <c r="G49" s="10">
        <f>+C49+D49-E49</f>
        <v>489577.01999999862</v>
      </c>
      <c r="H49" s="13">
        <f>2255525.44-1688966.46</f>
        <v>566558.98</v>
      </c>
      <c r="I49" s="14">
        <v>122706.07</v>
      </c>
      <c r="J49" s="14">
        <f>20016.25+99956.62+61086.68+18628.48</f>
        <v>199688.03</v>
      </c>
      <c r="K49" s="14">
        <f>H49+I49-J49</f>
        <v>489577.02</v>
      </c>
      <c r="L49" s="15">
        <f t="shared" si="15"/>
        <v>0</v>
      </c>
      <c r="M49" s="163"/>
      <c r="N49" s="62">
        <f t="shared" si="12"/>
        <v>1.3969838619232178E-9</v>
      </c>
      <c r="O49" s="184"/>
    </row>
    <row r="50" spans="1:17" x14ac:dyDescent="0.2">
      <c r="A50" s="139" t="s">
        <v>30</v>
      </c>
      <c r="B50" s="10">
        <f t="shared" si="16"/>
        <v>193749.02000000025</v>
      </c>
      <c r="C50" s="10">
        <f>19272341-17976826.68-1101765.3</f>
        <v>193749.02000000025</v>
      </c>
      <c r="D50" s="10">
        <v>4227.0200000000004</v>
      </c>
      <c r="E50" s="10">
        <v>0</v>
      </c>
      <c r="F50" s="12">
        <f t="shared" si="13"/>
        <v>0</v>
      </c>
      <c r="G50" s="10">
        <f>+C50+D50-E50</f>
        <v>197976.04000000024</v>
      </c>
      <c r="H50" s="13">
        <v>171700.75</v>
      </c>
      <c r="I50" s="14">
        <v>296402</v>
      </c>
      <c r="J50" s="14">
        <f>26299+244312.48</f>
        <v>270611.48</v>
      </c>
      <c r="K50" s="14">
        <f>H50+I50-J50</f>
        <v>197491.27000000002</v>
      </c>
      <c r="L50" s="15">
        <f t="shared" si="15"/>
        <v>0</v>
      </c>
      <c r="M50" s="163"/>
      <c r="N50" s="155">
        <f>+K50-G50</f>
        <v>-484.77000000022235</v>
      </c>
      <c r="O50" s="185"/>
    </row>
    <row r="51" spans="1:17" s="5" customFormat="1" x14ac:dyDescent="0.2">
      <c r="A51" s="20" t="s">
        <v>33</v>
      </c>
      <c r="B51" s="21">
        <f>SUM(B40:B50)</f>
        <v>1685870.649999999</v>
      </c>
      <c r="C51" s="21">
        <f>SUM(C40:C50)</f>
        <v>2492331.6499999994</v>
      </c>
      <c r="D51" s="21">
        <f>SUM(D40:D50)</f>
        <v>4457.42</v>
      </c>
      <c r="E51" s="21">
        <f>SUM(E40:E50)</f>
        <v>2038.23</v>
      </c>
      <c r="F51" s="22">
        <f>+E51/C51</f>
        <v>8.178004721000917E-4</v>
      </c>
      <c r="G51" s="21">
        <f>SUM(G40:G50)</f>
        <v>2494750.8399999989</v>
      </c>
      <c r="H51" s="21">
        <f>SUM(H40:H50)</f>
        <v>2967054.7</v>
      </c>
      <c r="I51" s="21">
        <f>SUM(I40:I50)</f>
        <v>1070779.75</v>
      </c>
      <c r="J51" s="21">
        <f>SUM(J40:J50)</f>
        <v>1543568.3800000001</v>
      </c>
      <c r="K51" s="21">
        <f>SUM(K40:K50)</f>
        <v>2494266.0700000003</v>
      </c>
      <c r="L51" s="23"/>
      <c r="M51" s="164"/>
      <c r="N51" s="62">
        <f t="shared" ref="N51:N67" si="18">+K51-G51</f>
        <v>-484.76999999862164</v>
      </c>
      <c r="O51" s="204"/>
      <c r="P51" s="143"/>
      <c r="Q51" s="143"/>
    </row>
    <row r="52" spans="1:17" x14ac:dyDescent="0.2">
      <c r="A52" s="139" t="s">
        <v>34</v>
      </c>
      <c r="B52" s="10">
        <v>0</v>
      </c>
      <c r="C52" s="10">
        <v>256006.06</v>
      </c>
      <c r="D52" s="13">
        <v>440.75</v>
      </c>
      <c r="E52" s="10">
        <v>0</v>
      </c>
      <c r="F52" s="12">
        <v>0</v>
      </c>
      <c r="G52" s="10">
        <f>+C52+D52-E52</f>
        <v>256446.81</v>
      </c>
      <c r="H52" s="10">
        <v>238695.02</v>
      </c>
      <c r="I52" s="10">
        <v>30099.8</v>
      </c>
      <c r="J52" s="10">
        <v>12348.01</v>
      </c>
      <c r="K52" s="10">
        <f t="shared" si="14"/>
        <v>256446.81</v>
      </c>
      <c r="L52" s="15"/>
      <c r="M52" s="163"/>
      <c r="N52" s="62">
        <f t="shared" si="18"/>
        <v>0</v>
      </c>
      <c r="O52" s="183"/>
    </row>
    <row r="53" spans="1:17" x14ac:dyDescent="0.2">
      <c r="A53" s="20" t="s">
        <v>35</v>
      </c>
      <c r="B53" s="25">
        <f t="shared" ref="B53:K53" si="19">SUM(B52:B52)</f>
        <v>0</v>
      </c>
      <c r="C53" s="25">
        <f t="shared" si="19"/>
        <v>256006.06</v>
      </c>
      <c r="D53" s="25">
        <f t="shared" si="19"/>
        <v>440.75</v>
      </c>
      <c r="E53" s="25">
        <f t="shared" si="19"/>
        <v>0</v>
      </c>
      <c r="F53" s="25">
        <f t="shared" si="19"/>
        <v>0</v>
      </c>
      <c r="G53" s="25">
        <f t="shared" si="19"/>
        <v>256446.81</v>
      </c>
      <c r="H53" s="25">
        <f t="shared" si="19"/>
        <v>238695.02</v>
      </c>
      <c r="I53" s="25">
        <f t="shared" si="19"/>
        <v>30099.8</v>
      </c>
      <c r="J53" s="25">
        <f t="shared" si="19"/>
        <v>12348.01</v>
      </c>
      <c r="K53" s="25">
        <f t="shared" si="19"/>
        <v>256446.81</v>
      </c>
      <c r="L53" s="27"/>
      <c r="M53" s="163"/>
      <c r="N53" s="62">
        <f t="shared" si="18"/>
        <v>0</v>
      </c>
      <c r="O53" s="183"/>
    </row>
    <row r="54" spans="1:17" x14ac:dyDescent="0.2">
      <c r="A54" s="139" t="s">
        <v>18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0.47</v>
      </c>
      <c r="H54" s="10">
        <v>0.47</v>
      </c>
      <c r="I54" s="10">
        <v>0</v>
      </c>
      <c r="J54" s="10">
        <v>0</v>
      </c>
      <c r="K54" s="10">
        <f t="shared" si="14"/>
        <v>0.47</v>
      </c>
      <c r="L54" s="15"/>
      <c r="M54" s="163"/>
      <c r="N54" s="62">
        <f t="shared" si="18"/>
        <v>0</v>
      </c>
      <c r="O54" s="183"/>
    </row>
    <row r="55" spans="1:17" x14ac:dyDescent="0.2">
      <c r="A55" s="139" t="s">
        <v>29</v>
      </c>
      <c r="B55" s="10">
        <v>0</v>
      </c>
      <c r="C55" s="10">
        <v>0</v>
      </c>
      <c r="D55" s="10">
        <v>0</v>
      </c>
      <c r="E55" s="10">
        <v>0</v>
      </c>
      <c r="F55" s="12">
        <v>0</v>
      </c>
      <c r="G55" s="10">
        <v>17.399999999999999</v>
      </c>
      <c r="H55" s="10">
        <v>17.399999999999999</v>
      </c>
      <c r="I55" s="10"/>
      <c r="J55" s="10">
        <v>0</v>
      </c>
      <c r="K55" s="10">
        <f t="shared" si="14"/>
        <v>17.399999999999999</v>
      </c>
      <c r="L55" s="15"/>
      <c r="M55" s="163"/>
      <c r="N55" s="62">
        <f t="shared" si="18"/>
        <v>0</v>
      </c>
      <c r="O55" s="183"/>
    </row>
    <row r="56" spans="1:17" x14ac:dyDescent="0.2">
      <c r="A56" s="20" t="s">
        <v>37</v>
      </c>
      <c r="B56" s="25">
        <f t="shared" ref="B56:K56" si="20">SUM(B54:B55)</f>
        <v>0</v>
      </c>
      <c r="C56" s="25">
        <f t="shared" si="20"/>
        <v>0</v>
      </c>
      <c r="D56" s="25">
        <f t="shared" si="20"/>
        <v>0</v>
      </c>
      <c r="E56" s="25">
        <f t="shared" si="20"/>
        <v>0</v>
      </c>
      <c r="F56" s="25">
        <f t="shared" si="20"/>
        <v>0</v>
      </c>
      <c r="G56" s="25">
        <f t="shared" si="20"/>
        <v>17.869999999999997</v>
      </c>
      <c r="H56" s="25">
        <f t="shared" si="20"/>
        <v>17.869999999999997</v>
      </c>
      <c r="I56" s="25">
        <f t="shared" si="20"/>
        <v>0</v>
      </c>
      <c r="J56" s="25">
        <f t="shared" si="20"/>
        <v>0</v>
      </c>
      <c r="K56" s="25">
        <f t="shared" si="20"/>
        <v>17.869999999999997</v>
      </c>
      <c r="L56" s="27"/>
      <c r="M56" s="163"/>
      <c r="N56" s="62">
        <f>+K56-G56</f>
        <v>0</v>
      </c>
      <c r="O56" s="183"/>
    </row>
    <row r="57" spans="1:17" x14ac:dyDescent="0.2">
      <c r="A57" s="139" t="s">
        <v>18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1392</v>
      </c>
      <c r="H57" s="10">
        <v>1392</v>
      </c>
      <c r="I57" s="10">
        <v>0</v>
      </c>
      <c r="J57" s="10">
        <v>0</v>
      </c>
      <c r="K57" s="10">
        <f t="shared" si="14"/>
        <v>1392</v>
      </c>
      <c r="L57" s="15"/>
      <c r="M57" s="163"/>
      <c r="N57" s="62">
        <f t="shared" si="18"/>
        <v>0</v>
      </c>
      <c r="O57" s="183"/>
    </row>
    <row r="58" spans="1:17" x14ac:dyDescent="0.2">
      <c r="A58" s="139" t="s">
        <v>20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382.8</v>
      </c>
      <c r="H58" s="10">
        <v>382.8</v>
      </c>
      <c r="I58" s="10">
        <v>0</v>
      </c>
      <c r="J58" s="10">
        <v>0</v>
      </c>
      <c r="K58" s="10">
        <f t="shared" si="14"/>
        <v>382.8</v>
      </c>
      <c r="L58" s="15"/>
      <c r="M58" s="163"/>
      <c r="N58" s="62">
        <f t="shared" si="18"/>
        <v>0</v>
      </c>
      <c r="O58" s="183"/>
    </row>
    <row r="59" spans="1:17" x14ac:dyDescent="0.2">
      <c r="A59" s="139" t="s">
        <v>29</v>
      </c>
      <c r="B59" s="10">
        <v>0</v>
      </c>
      <c r="C59" s="10">
        <v>0</v>
      </c>
      <c r="D59" s="10"/>
      <c r="E59" s="10">
        <v>0</v>
      </c>
      <c r="F59" s="12">
        <v>0</v>
      </c>
      <c r="G59" s="10">
        <v>242057.67</v>
      </c>
      <c r="H59" s="10">
        <v>242057.67</v>
      </c>
      <c r="I59" s="10">
        <v>0</v>
      </c>
      <c r="J59" s="10">
        <v>0</v>
      </c>
      <c r="K59" s="10">
        <f t="shared" si="14"/>
        <v>242057.67</v>
      </c>
      <c r="L59" s="15"/>
      <c r="M59" s="163"/>
      <c r="N59" s="62">
        <f t="shared" si="18"/>
        <v>0</v>
      </c>
      <c r="O59" s="183"/>
    </row>
    <row r="60" spans="1:17" x14ac:dyDescent="0.2">
      <c r="A60" s="20" t="s">
        <v>38</v>
      </c>
      <c r="B60" s="25">
        <f t="shared" ref="B60:K60" si="21">SUM(B57:B59)</f>
        <v>0</v>
      </c>
      <c r="C60" s="25">
        <f t="shared" si="21"/>
        <v>0</v>
      </c>
      <c r="D60" s="25">
        <f t="shared" si="21"/>
        <v>0</v>
      </c>
      <c r="E60" s="25">
        <f t="shared" si="21"/>
        <v>0</v>
      </c>
      <c r="F60" s="25">
        <f t="shared" si="21"/>
        <v>0</v>
      </c>
      <c r="G60" s="25">
        <f t="shared" si="21"/>
        <v>243832.47</v>
      </c>
      <c r="H60" s="25">
        <f t="shared" si="21"/>
        <v>243832.47</v>
      </c>
      <c r="I60" s="25">
        <f t="shared" si="21"/>
        <v>0</v>
      </c>
      <c r="J60" s="25">
        <f t="shared" si="21"/>
        <v>0</v>
      </c>
      <c r="K60" s="25">
        <f t="shared" si="21"/>
        <v>243832.47</v>
      </c>
      <c r="L60" s="27"/>
      <c r="M60" s="163"/>
      <c r="N60" s="62">
        <f t="shared" si="18"/>
        <v>0</v>
      </c>
      <c r="O60" s="183"/>
    </row>
    <row r="61" spans="1:17" x14ac:dyDescent="0.2">
      <c r="A61" s="139" t="s">
        <v>36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-10</v>
      </c>
      <c r="H61" s="10">
        <v>-10</v>
      </c>
      <c r="I61" s="10">
        <v>0</v>
      </c>
      <c r="J61" s="10">
        <v>0</v>
      </c>
      <c r="K61" s="10">
        <f t="shared" si="14"/>
        <v>-10</v>
      </c>
      <c r="L61" s="15"/>
      <c r="M61" s="163"/>
      <c r="N61" s="62">
        <f t="shared" si="18"/>
        <v>0</v>
      </c>
      <c r="O61" s="183"/>
    </row>
    <row r="62" spans="1:17" x14ac:dyDescent="0.2">
      <c r="A62" s="139" t="s">
        <v>20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219.47</v>
      </c>
      <c r="H62" s="10">
        <v>219.47</v>
      </c>
      <c r="I62" s="10">
        <v>0</v>
      </c>
      <c r="J62" s="10">
        <v>0</v>
      </c>
      <c r="K62" s="10">
        <f t="shared" si="14"/>
        <v>219.47</v>
      </c>
      <c r="L62" s="15"/>
      <c r="M62" s="163"/>
      <c r="N62" s="62">
        <f t="shared" si="18"/>
        <v>0</v>
      </c>
      <c r="O62" s="183"/>
    </row>
    <row r="63" spans="1:17" x14ac:dyDescent="0.2">
      <c r="A63" s="139" t="s">
        <v>24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1150.8900000000001</v>
      </c>
      <c r="H63" s="10">
        <v>42631.81</v>
      </c>
      <c r="I63" s="10">
        <v>412765.08</v>
      </c>
      <c r="J63" s="10">
        <v>454246</v>
      </c>
      <c r="K63" s="10">
        <f t="shared" si="14"/>
        <v>1150.890000000014</v>
      </c>
      <c r="L63" s="15"/>
      <c r="M63" s="163"/>
      <c r="N63" s="62">
        <f t="shared" si="18"/>
        <v>1.3869794202037156E-11</v>
      </c>
      <c r="O63" s="183"/>
    </row>
    <row r="64" spans="1:17" x14ac:dyDescent="0.2">
      <c r="A64" s="139" t="s">
        <v>25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719.87</v>
      </c>
      <c r="H64" s="10">
        <v>719.87</v>
      </c>
      <c r="I64" s="10">
        <v>0</v>
      </c>
      <c r="J64" s="10">
        <v>0</v>
      </c>
      <c r="K64" s="10">
        <f t="shared" si="14"/>
        <v>719.87</v>
      </c>
      <c r="L64" s="15"/>
      <c r="M64" s="163"/>
      <c r="N64" s="62">
        <f t="shared" si="18"/>
        <v>0</v>
      </c>
      <c r="O64" s="183"/>
    </row>
    <row r="65" spans="1:15" x14ac:dyDescent="0.2">
      <c r="A65" s="139" t="s">
        <v>27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267528.84000000003</v>
      </c>
      <c r="H65" s="10">
        <v>0</v>
      </c>
      <c r="I65" s="10">
        <v>267528.84000000003</v>
      </c>
      <c r="J65" s="10">
        <v>0</v>
      </c>
      <c r="K65" s="10">
        <f t="shared" si="14"/>
        <v>267528.84000000003</v>
      </c>
      <c r="L65" s="15"/>
      <c r="M65" s="163"/>
      <c r="N65" s="62">
        <f t="shared" si="18"/>
        <v>0</v>
      </c>
      <c r="O65" s="183"/>
    </row>
    <row r="66" spans="1:15" x14ac:dyDescent="0.2">
      <c r="A66" s="139" t="s">
        <v>29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236767.4</v>
      </c>
      <c r="H66" s="10">
        <v>243581.68</v>
      </c>
      <c r="I66" s="10">
        <v>0</v>
      </c>
      <c r="J66" s="10">
        <f>2827.74+3986.54</f>
        <v>6814.28</v>
      </c>
      <c r="K66" s="10">
        <f t="shared" si="14"/>
        <v>236767.4</v>
      </c>
      <c r="L66" s="15"/>
      <c r="M66" s="163"/>
      <c r="N66" s="62">
        <f t="shared" si="18"/>
        <v>0</v>
      </c>
      <c r="O66" s="183"/>
    </row>
    <row r="67" spans="1:15" x14ac:dyDescent="0.2">
      <c r="A67" s="20" t="s">
        <v>39</v>
      </c>
      <c r="B67" s="25">
        <f t="shared" ref="B67:K67" si="22">SUM(B61:B66)</f>
        <v>0</v>
      </c>
      <c r="C67" s="25">
        <f t="shared" si="22"/>
        <v>0</v>
      </c>
      <c r="D67" s="25">
        <f t="shared" si="22"/>
        <v>0</v>
      </c>
      <c r="E67" s="25">
        <f t="shared" si="22"/>
        <v>0</v>
      </c>
      <c r="F67" s="25">
        <f t="shared" si="22"/>
        <v>0</v>
      </c>
      <c r="G67" s="25">
        <f t="shared" si="22"/>
        <v>506376.47</v>
      </c>
      <c r="H67" s="25">
        <f t="shared" si="22"/>
        <v>287142.83</v>
      </c>
      <c r="I67" s="25">
        <f t="shared" si="22"/>
        <v>680293.92</v>
      </c>
      <c r="J67" s="25">
        <f t="shared" si="22"/>
        <v>461060.28</v>
      </c>
      <c r="K67" s="25">
        <f t="shared" si="22"/>
        <v>506376.47000000009</v>
      </c>
      <c r="L67" s="27"/>
      <c r="M67" s="163"/>
      <c r="N67" s="62">
        <f t="shared" si="18"/>
        <v>0</v>
      </c>
      <c r="O67" s="183"/>
    </row>
    <row r="68" spans="1:15" x14ac:dyDescent="0.25">
      <c r="A68" s="20" t="s">
        <v>44</v>
      </c>
      <c r="B68" s="25">
        <f t="shared" ref="B68:K68" si="23">+B39+B51+B53+B56+B60+B67</f>
        <v>104936112.92999999</v>
      </c>
      <c r="C68" s="25">
        <f t="shared" si="23"/>
        <v>5165475.4700000016</v>
      </c>
      <c r="D68" s="25">
        <f t="shared" si="23"/>
        <v>191349.32</v>
      </c>
      <c r="E68" s="25">
        <f t="shared" si="23"/>
        <v>1511681.33</v>
      </c>
      <c r="F68" s="25">
        <f t="shared" si="23"/>
        <v>5.2672924140970103</v>
      </c>
      <c r="G68" s="25">
        <f t="shared" si="23"/>
        <v>4595370.2700000014</v>
      </c>
      <c r="H68" s="25">
        <f t="shared" si="23"/>
        <v>6297865.4399999995</v>
      </c>
      <c r="I68" s="25">
        <f t="shared" si="23"/>
        <v>2937683.26</v>
      </c>
      <c r="J68" s="25">
        <f t="shared" si="23"/>
        <v>4640663.2</v>
      </c>
      <c r="K68" s="25">
        <f t="shared" si="23"/>
        <v>4594885.5</v>
      </c>
      <c r="L68" s="27"/>
      <c r="M68" s="163"/>
      <c r="O68" s="186"/>
    </row>
    <row r="69" spans="1:15" x14ac:dyDescent="0.25">
      <c r="A69" s="28"/>
      <c r="B69" s="29"/>
      <c r="C69" s="29"/>
      <c r="D69" s="29"/>
      <c r="E69" s="28"/>
      <c r="F69" s="28"/>
      <c r="G69" s="28"/>
      <c r="H69" s="28"/>
      <c r="I69" s="28"/>
      <c r="J69" s="28"/>
      <c r="K69" s="28"/>
      <c r="L69" s="30"/>
      <c r="M69" s="30"/>
      <c r="O69" s="186"/>
    </row>
    <row r="70" spans="1:15" x14ac:dyDescent="0.25">
      <c r="A70" s="140"/>
      <c r="B70" s="19"/>
      <c r="C70" s="333" t="s">
        <v>45</v>
      </c>
      <c r="D70" s="333"/>
      <c r="E70" s="333"/>
      <c r="F70" s="333"/>
      <c r="G70" s="333"/>
      <c r="H70" s="333"/>
      <c r="I70" s="333"/>
      <c r="J70" s="19"/>
      <c r="K70" s="19"/>
      <c r="L70" s="19"/>
      <c r="M70" s="19"/>
      <c r="O70" s="186"/>
    </row>
    <row r="71" spans="1:15" x14ac:dyDescent="0.25">
      <c r="A71" s="140"/>
      <c r="B71" s="19"/>
      <c r="C71" s="215"/>
      <c r="D71" s="215"/>
      <c r="E71" s="215"/>
      <c r="F71" s="215"/>
      <c r="G71" s="215"/>
      <c r="H71" s="215"/>
      <c r="I71" s="215"/>
      <c r="J71" s="19"/>
      <c r="K71" s="19"/>
      <c r="L71" s="19"/>
      <c r="M71" s="19"/>
      <c r="O71" s="186"/>
    </row>
    <row r="72" spans="1:15" x14ac:dyDescent="0.25">
      <c r="A72" s="140"/>
      <c r="B72" s="325" t="s">
        <v>46</v>
      </c>
      <c r="C72" s="325"/>
      <c r="D72" s="326" t="s">
        <v>47</v>
      </c>
      <c r="E72" s="327"/>
      <c r="F72" s="328"/>
      <c r="G72" s="320" t="s">
        <v>48</v>
      </c>
      <c r="H72" s="320"/>
      <c r="I72" s="217" t="s">
        <v>10</v>
      </c>
      <c r="J72" s="19"/>
      <c r="K72" s="19"/>
      <c r="L72" s="19"/>
      <c r="M72" s="19"/>
      <c r="O72" s="186"/>
    </row>
    <row r="73" spans="1:15" x14ac:dyDescent="0.25">
      <c r="A73" s="140"/>
      <c r="B73" s="329" t="s">
        <v>49</v>
      </c>
      <c r="C73" s="329"/>
      <c r="D73" s="330">
        <v>9000000</v>
      </c>
      <c r="E73" s="331"/>
      <c r="F73" s="332">
        <v>0</v>
      </c>
      <c r="G73" s="330">
        <v>4747791.18</v>
      </c>
      <c r="H73" s="332"/>
      <c r="I73" s="33">
        <f>G73/D73</f>
        <v>0.52753235333333326</v>
      </c>
      <c r="J73" s="19"/>
      <c r="K73" s="19"/>
      <c r="L73" s="19"/>
      <c r="M73" s="19"/>
      <c r="O73" s="186"/>
    </row>
    <row r="74" spans="1:15" x14ac:dyDescent="0.25">
      <c r="A74" s="140"/>
      <c r="B74" s="320"/>
      <c r="C74" s="320"/>
      <c r="D74" s="321"/>
      <c r="E74" s="322"/>
      <c r="F74" s="323"/>
      <c r="G74" s="324"/>
      <c r="H74" s="324"/>
      <c r="I74" s="218"/>
      <c r="J74" s="19"/>
      <c r="K74" s="19"/>
      <c r="L74" s="19"/>
      <c r="M74" s="19"/>
      <c r="O74" s="186"/>
    </row>
    <row r="75" spans="1:15" x14ac:dyDescent="0.25">
      <c r="A75" s="140"/>
      <c r="B75" s="320"/>
      <c r="C75" s="320"/>
      <c r="D75" s="321"/>
      <c r="E75" s="322"/>
      <c r="F75" s="323"/>
      <c r="G75" s="324"/>
      <c r="H75" s="324"/>
      <c r="I75" s="218"/>
      <c r="J75" s="19"/>
      <c r="K75" s="19"/>
      <c r="L75" s="19"/>
      <c r="M75" s="19"/>
      <c r="O75" s="186"/>
    </row>
    <row r="76" spans="1:15" x14ac:dyDescent="0.25">
      <c r="A76" s="140"/>
      <c r="B76" s="320"/>
      <c r="C76" s="320"/>
      <c r="D76" s="321"/>
      <c r="E76" s="322"/>
      <c r="F76" s="323"/>
      <c r="G76" s="324"/>
      <c r="H76" s="324"/>
      <c r="I76" s="218"/>
      <c r="J76" s="19"/>
      <c r="K76" s="19"/>
      <c r="L76" s="19"/>
      <c r="M76" s="19"/>
      <c r="O76" s="186"/>
    </row>
    <row r="77" spans="1:15" x14ac:dyDescent="0.25">
      <c r="A77" s="35" t="s">
        <v>50</v>
      </c>
      <c r="B77" s="36"/>
      <c r="C77" s="36"/>
      <c r="D77" s="36"/>
      <c r="E77" s="36"/>
      <c r="F77" s="36"/>
      <c r="G77" s="37"/>
      <c r="H77" s="37"/>
      <c r="I77" s="38"/>
      <c r="J77" s="19"/>
      <c r="K77" s="19"/>
      <c r="L77" s="19"/>
      <c r="M77" s="19"/>
      <c r="O77" s="186"/>
    </row>
    <row r="78" spans="1:15" x14ac:dyDescent="0.25">
      <c r="O78" s="186"/>
    </row>
    <row r="79" spans="1:15" x14ac:dyDescent="0.25">
      <c r="O79" s="186"/>
    </row>
    <row r="80" spans="1:15" x14ac:dyDescent="0.25">
      <c r="C80" s="342" t="s">
        <v>125</v>
      </c>
      <c r="D80" s="342"/>
      <c r="I80" s="342" t="s">
        <v>128</v>
      </c>
      <c r="J80" s="342"/>
      <c r="O80" s="186"/>
    </row>
    <row r="81" spans="3:15" x14ac:dyDescent="0.25">
      <c r="O81" s="186"/>
    </row>
    <row r="82" spans="3:15" x14ac:dyDescent="0.25">
      <c r="O82" s="186"/>
    </row>
    <row r="83" spans="3:15" x14ac:dyDescent="0.25">
      <c r="C83" s="342" t="s">
        <v>126</v>
      </c>
      <c r="D83" s="342"/>
      <c r="I83" s="342" t="s">
        <v>129</v>
      </c>
      <c r="J83" s="342"/>
      <c r="O83" s="186"/>
    </row>
    <row r="84" spans="3:15" x14ac:dyDescent="0.25">
      <c r="C84" s="342" t="s">
        <v>127</v>
      </c>
      <c r="D84" s="342"/>
      <c r="I84" s="342" t="s">
        <v>130</v>
      </c>
      <c r="J84" s="342"/>
      <c r="O84" s="186"/>
    </row>
    <row r="85" spans="3:15" x14ac:dyDescent="0.25">
      <c r="O85" s="186"/>
    </row>
    <row r="86" spans="3:15" x14ac:dyDescent="0.25">
      <c r="O86" s="186"/>
    </row>
    <row r="87" spans="3:15" x14ac:dyDescent="0.25">
      <c r="O87" s="186"/>
    </row>
    <row r="88" spans="3:15" x14ac:dyDescent="0.25">
      <c r="O88" s="186"/>
    </row>
    <row r="89" spans="3:15" x14ac:dyDescent="0.25">
      <c r="O89" s="186"/>
    </row>
    <row r="90" spans="3:15" x14ac:dyDescent="0.25">
      <c r="O90" s="186"/>
    </row>
    <row r="91" spans="3:15" x14ac:dyDescent="0.25">
      <c r="O91" s="186"/>
    </row>
    <row r="92" spans="3:15" x14ac:dyDescent="0.25">
      <c r="O92" s="186"/>
    </row>
    <row r="93" spans="3:15" x14ac:dyDescent="0.25">
      <c r="O93" s="186"/>
    </row>
    <row r="94" spans="3:15" x14ac:dyDescent="0.25">
      <c r="O94" s="186"/>
    </row>
    <row r="95" spans="3:15" x14ac:dyDescent="0.25">
      <c r="O95" s="186"/>
    </row>
    <row r="96" spans="3:15" x14ac:dyDescent="0.25">
      <c r="O96" s="186"/>
    </row>
    <row r="97" spans="15:15" x14ac:dyDescent="0.25">
      <c r="O97" s="186"/>
    </row>
    <row r="98" spans="15:15" x14ac:dyDescent="0.25">
      <c r="O98" s="186"/>
    </row>
    <row r="99" spans="15:15" x14ac:dyDescent="0.25">
      <c r="O99" s="186"/>
    </row>
    <row r="100" spans="15:15" x14ac:dyDescent="0.25">
      <c r="O100" s="186"/>
    </row>
    <row r="101" spans="15:15" x14ac:dyDescent="0.25">
      <c r="O101" s="186"/>
    </row>
    <row r="102" spans="15:15" x14ac:dyDescent="0.25">
      <c r="O102" s="186"/>
    </row>
    <row r="103" spans="15:15" x14ac:dyDescent="0.25">
      <c r="O103" s="186"/>
    </row>
    <row r="104" spans="15:15" x14ac:dyDescent="0.25">
      <c r="O104" s="186"/>
    </row>
    <row r="105" spans="15:15" x14ac:dyDescent="0.25">
      <c r="O105" s="186"/>
    </row>
    <row r="106" spans="15:15" x14ac:dyDescent="0.25">
      <c r="O106" s="186"/>
    </row>
    <row r="107" spans="15:15" x14ac:dyDescent="0.25">
      <c r="O107" s="186"/>
    </row>
    <row r="108" spans="15:15" x14ac:dyDescent="0.25">
      <c r="O108" s="186"/>
    </row>
    <row r="109" spans="15:15" x14ac:dyDescent="0.25">
      <c r="O109" s="186"/>
    </row>
    <row r="110" spans="15:15" x14ac:dyDescent="0.25">
      <c r="O110" s="186"/>
    </row>
    <row r="111" spans="15:15" x14ac:dyDescent="0.25">
      <c r="O111" s="186"/>
    </row>
    <row r="112" spans="15:15" x14ac:dyDescent="0.25">
      <c r="O112" s="186"/>
    </row>
    <row r="113" spans="15:15" x14ac:dyDescent="0.25">
      <c r="O113" s="186"/>
    </row>
    <row r="114" spans="15:15" x14ac:dyDescent="0.25">
      <c r="O114" s="186"/>
    </row>
    <row r="115" spans="15:15" x14ac:dyDescent="0.25">
      <c r="O115" s="186"/>
    </row>
    <row r="116" spans="15:15" x14ac:dyDescent="0.25">
      <c r="O116" s="186"/>
    </row>
    <row r="117" spans="15:15" x14ac:dyDescent="0.25">
      <c r="O117" s="186"/>
    </row>
    <row r="118" spans="15:15" x14ac:dyDescent="0.25">
      <c r="O118" s="186"/>
    </row>
    <row r="119" spans="15:15" x14ac:dyDescent="0.25">
      <c r="O119" s="186"/>
    </row>
    <row r="120" spans="15:15" x14ac:dyDescent="0.25">
      <c r="O120" s="186"/>
    </row>
    <row r="121" spans="15:15" x14ac:dyDescent="0.25">
      <c r="O121" s="186"/>
    </row>
    <row r="122" spans="15:15" x14ac:dyDescent="0.25">
      <c r="O122" s="186"/>
    </row>
    <row r="123" spans="15:15" x14ac:dyDescent="0.25">
      <c r="O123" s="186"/>
    </row>
    <row r="124" spans="15:15" x14ac:dyDescent="0.25">
      <c r="O124" s="186"/>
    </row>
    <row r="125" spans="15:15" x14ac:dyDescent="0.25">
      <c r="O125" s="186"/>
    </row>
    <row r="126" spans="15:15" x14ac:dyDescent="0.25">
      <c r="O126" s="186"/>
    </row>
    <row r="127" spans="15:15" x14ac:dyDescent="0.25">
      <c r="O127" s="186"/>
    </row>
    <row r="128" spans="15:15" x14ac:dyDescent="0.25">
      <c r="O128" s="186"/>
    </row>
    <row r="129" spans="15:15" x14ac:dyDescent="0.25">
      <c r="O129" s="186"/>
    </row>
    <row r="130" spans="15:15" x14ac:dyDescent="0.25">
      <c r="O130" s="186"/>
    </row>
    <row r="131" spans="15:15" x14ac:dyDescent="0.25">
      <c r="O131" s="186"/>
    </row>
    <row r="132" spans="15:15" x14ac:dyDescent="0.25">
      <c r="O132" s="186"/>
    </row>
    <row r="133" spans="15:15" x14ac:dyDescent="0.25">
      <c r="O133" s="186"/>
    </row>
    <row r="134" spans="15:15" x14ac:dyDescent="0.25">
      <c r="O134" s="186"/>
    </row>
    <row r="135" spans="15:15" x14ac:dyDescent="0.25">
      <c r="O135" s="186"/>
    </row>
    <row r="136" spans="15:15" x14ac:dyDescent="0.25">
      <c r="O136" s="186"/>
    </row>
    <row r="137" spans="15:15" x14ac:dyDescent="0.25">
      <c r="O137" s="186"/>
    </row>
    <row r="138" spans="15:15" x14ac:dyDescent="0.25">
      <c r="O138" s="186"/>
    </row>
    <row r="139" spans="15:15" x14ac:dyDescent="0.25">
      <c r="O139" s="186"/>
    </row>
    <row r="140" spans="15:15" x14ac:dyDescent="0.25">
      <c r="O140" s="186"/>
    </row>
    <row r="141" spans="15:15" x14ac:dyDescent="0.25">
      <c r="O141" s="186"/>
    </row>
    <row r="142" spans="15:15" x14ac:dyDescent="0.25">
      <c r="O142" s="186"/>
    </row>
    <row r="143" spans="15:15" x14ac:dyDescent="0.25">
      <c r="O143" s="186"/>
    </row>
    <row r="144" spans="15:15" x14ac:dyDescent="0.25">
      <c r="O144" s="186"/>
    </row>
    <row r="145" spans="15:15" x14ac:dyDescent="0.25">
      <c r="O145" s="186"/>
    </row>
    <row r="146" spans="15:15" x14ac:dyDescent="0.25">
      <c r="O146" s="186"/>
    </row>
    <row r="147" spans="15:15" x14ac:dyDescent="0.25">
      <c r="O147" s="186"/>
    </row>
    <row r="148" spans="15:15" x14ac:dyDescent="0.25">
      <c r="O148" s="186"/>
    </row>
    <row r="149" spans="15:15" x14ac:dyDescent="0.25">
      <c r="O149" s="186"/>
    </row>
    <row r="150" spans="15:15" x14ac:dyDescent="0.25">
      <c r="O150" s="186"/>
    </row>
    <row r="151" spans="15:15" x14ac:dyDescent="0.25">
      <c r="O151" s="186"/>
    </row>
    <row r="152" spans="15:15" x14ac:dyDescent="0.25">
      <c r="O152" s="186"/>
    </row>
    <row r="153" spans="15:15" x14ac:dyDescent="0.25">
      <c r="O153" s="186"/>
    </row>
    <row r="154" spans="15:15" x14ac:dyDescent="0.25">
      <c r="O154" s="186"/>
    </row>
    <row r="155" spans="15:15" x14ac:dyDescent="0.25">
      <c r="O155" s="186"/>
    </row>
    <row r="156" spans="15:15" x14ac:dyDescent="0.25">
      <c r="O156" s="186"/>
    </row>
    <row r="157" spans="15:15" x14ac:dyDescent="0.25">
      <c r="O157" s="186"/>
    </row>
    <row r="158" spans="15:15" x14ac:dyDescent="0.25">
      <c r="O158" s="186"/>
    </row>
    <row r="159" spans="15:15" x14ac:dyDescent="0.25">
      <c r="O159" s="186"/>
    </row>
    <row r="160" spans="15:15" x14ac:dyDescent="0.25">
      <c r="O160" s="186"/>
    </row>
    <row r="161" spans="15:15" x14ac:dyDescent="0.25">
      <c r="O161" s="186"/>
    </row>
    <row r="162" spans="15:15" x14ac:dyDescent="0.25">
      <c r="O162" s="186"/>
    </row>
    <row r="163" spans="15:15" x14ac:dyDescent="0.25">
      <c r="O163" s="186"/>
    </row>
    <row r="164" spans="15:15" x14ac:dyDescent="0.25">
      <c r="O164" s="186"/>
    </row>
    <row r="165" spans="15:15" x14ac:dyDescent="0.25">
      <c r="O165" s="186"/>
    </row>
    <row r="166" spans="15:15" x14ac:dyDescent="0.25">
      <c r="O166" s="186"/>
    </row>
    <row r="167" spans="15:15" x14ac:dyDescent="0.25">
      <c r="O167" s="186"/>
    </row>
    <row r="168" spans="15:15" x14ac:dyDescent="0.25">
      <c r="O168" s="186"/>
    </row>
    <row r="169" spans="15:15" x14ac:dyDescent="0.25">
      <c r="O169" s="186"/>
    </row>
    <row r="170" spans="15:15" x14ac:dyDescent="0.25">
      <c r="O170" s="186"/>
    </row>
    <row r="171" spans="15:15" x14ac:dyDescent="0.25">
      <c r="O171" s="186"/>
    </row>
    <row r="172" spans="15:15" x14ac:dyDescent="0.25">
      <c r="O172" s="186"/>
    </row>
    <row r="173" spans="15:15" x14ac:dyDescent="0.25">
      <c r="O173" s="186"/>
    </row>
    <row r="174" spans="15:15" x14ac:dyDescent="0.25">
      <c r="O174" s="186"/>
    </row>
    <row r="175" spans="15:15" x14ac:dyDescent="0.25">
      <c r="O175" s="186"/>
    </row>
    <row r="176" spans="15:15" x14ac:dyDescent="0.25">
      <c r="O176" s="186"/>
    </row>
    <row r="177" spans="15:15" x14ac:dyDescent="0.25">
      <c r="O177" s="186"/>
    </row>
    <row r="178" spans="15:15" x14ac:dyDescent="0.25">
      <c r="O178" s="186"/>
    </row>
    <row r="179" spans="15:15" x14ac:dyDescent="0.25">
      <c r="O179" s="186"/>
    </row>
    <row r="180" spans="15:15" x14ac:dyDescent="0.25">
      <c r="O180" s="186"/>
    </row>
    <row r="181" spans="15:15" x14ac:dyDescent="0.25">
      <c r="O181" s="186"/>
    </row>
    <row r="182" spans="15:15" x14ac:dyDescent="0.25">
      <c r="O182" s="186"/>
    </row>
    <row r="183" spans="15:15" x14ac:dyDescent="0.25">
      <c r="O183" s="186"/>
    </row>
    <row r="184" spans="15:15" x14ac:dyDescent="0.25">
      <c r="O184" s="186"/>
    </row>
    <row r="185" spans="15:15" x14ac:dyDescent="0.25">
      <c r="O185" s="186"/>
    </row>
    <row r="186" spans="15:15" x14ac:dyDescent="0.25">
      <c r="O186" s="186"/>
    </row>
    <row r="187" spans="15:15" x14ac:dyDescent="0.25">
      <c r="O187" s="186"/>
    </row>
    <row r="188" spans="15:15" x14ac:dyDescent="0.25">
      <c r="O188" s="186"/>
    </row>
    <row r="189" spans="15:15" x14ac:dyDescent="0.25">
      <c r="O189" s="186"/>
    </row>
    <row r="190" spans="15:15" x14ac:dyDescent="0.25">
      <c r="O190" s="186"/>
    </row>
    <row r="191" spans="15:15" x14ac:dyDescent="0.25">
      <c r="O191" s="186"/>
    </row>
    <row r="192" spans="15:15" x14ac:dyDescent="0.25">
      <c r="O192" s="186"/>
    </row>
    <row r="193" spans="15:15" x14ac:dyDescent="0.25">
      <c r="O193" s="186"/>
    </row>
    <row r="194" spans="15:15" x14ac:dyDescent="0.25">
      <c r="O194" s="186"/>
    </row>
    <row r="195" spans="15:15" x14ac:dyDescent="0.25">
      <c r="O195" s="186"/>
    </row>
    <row r="196" spans="15:15" x14ac:dyDescent="0.25">
      <c r="O196" s="186"/>
    </row>
    <row r="197" spans="15:15" x14ac:dyDescent="0.25">
      <c r="O197" s="186"/>
    </row>
    <row r="198" spans="15:15" x14ac:dyDescent="0.25">
      <c r="O198" s="186"/>
    </row>
    <row r="199" spans="15:15" x14ac:dyDescent="0.25">
      <c r="O199" s="186"/>
    </row>
    <row r="200" spans="15:15" x14ac:dyDescent="0.25">
      <c r="O200" s="186"/>
    </row>
    <row r="201" spans="15:15" x14ac:dyDescent="0.25">
      <c r="O201" s="186"/>
    </row>
    <row r="202" spans="15:15" x14ac:dyDescent="0.25">
      <c r="O202" s="186"/>
    </row>
    <row r="203" spans="15:15" x14ac:dyDescent="0.25">
      <c r="O203" s="186"/>
    </row>
    <row r="204" spans="15:15" x14ac:dyDescent="0.25">
      <c r="O204" s="186"/>
    </row>
    <row r="205" spans="15:15" x14ac:dyDescent="0.25">
      <c r="O205" s="186"/>
    </row>
    <row r="206" spans="15:15" x14ac:dyDescent="0.25">
      <c r="O206" s="186"/>
    </row>
    <row r="207" spans="15:15" x14ac:dyDescent="0.25">
      <c r="O207" s="186"/>
    </row>
    <row r="208" spans="15:15" x14ac:dyDescent="0.25">
      <c r="O208" s="186"/>
    </row>
    <row r="209" spans="15:15" x14ac:dyDescent="0.25">
      <c r="O209" s="186"/>
    </row>
    <row r="210" spans="15:15" x14ac:dyDescent="0.25">
      <c r="O210" s="186"/>
    </row>
    <row r="211" spans="15:15" x14ac:dyDescent="0.25">
      <c r="O211" s="186"/>
    </row>
    <row r="212" spans="15:15" x14ac:dyDescent="0.25">
      <c r="O212" s="186"/>
    </row>
    <row r="213" spans="15:15" x14ac:dyDescent="0.25">
      <c r="O213" s="186"/>
    </row>
    <row r="214" spans="15:15" x14ac:dyDescent="0.25">
      <c r="O214" s="186"/>
    </row>
    <row r="215" spans="15:15" x14ac:dyDescent="0.25">
      <c r="O215" s="186"/>
    </row>
    <row r="216" spans="15:15" x14ac:dyDescent="0.25">
      <c r="O216" s="186"/>
    </row>
    <row r="217" spans="15:15" x14ac:dyDescent="0.25">
      <c r="O217" s="186"/>
    </row>
    <row r="218" spans="15:15" x14ac:dyDescent="0.25">
      <c r="O218" s="186"/>
    </row>
    <row r="219" spans="15:15" x14ac:dyDescent="0.25">
      <c r="O219" s="186"/>
    </row>
    <row r="220" spans="15:15" x14ac:dyDescent="0.25">
      <c r="O220" s="186"/>
    </row>
    <row r="221" spans="15:15" x14ac:dyDescent="0.25">
      <c r="O221" s="186"/>
    </row>
    <row r="222" spans="15:15" x14ac:dyDescent="0.25">
      <c r="O222" s="186"/>
    </row>
    <row r="223" spans="15:15" x14ac:dyDescent="0.25">
      <c r="O223" s="186"/>
    </row>
    <row r="224" spans="15:15" x14ac:dyDescent="0.25">
      <c r="O224" s="186"/>
    </row>
    <row r="225" spans="15:15" x14ac:dyDescent="0.25">
      <c r="O225" s="186"/>
    </row>
    <row r="226" spans="15:15" x14ac:dyDescent="0.25">
      <c r="O226" s="186"/>
    </row>
    <row r="227" spans="15:15" x14ac:dyDescent="0.25">
      <c r="O227" s="186"/>
    </row>
    <row r="228" spans="15:15" x14ac:dyDescent="0.25">
      <c r="O228" s="186"/>
    </row>
    <row r="229" spans="15:15" x14ac:dyDescent="0.25">
      <c r="O229" s="186"/>
    </row>
    <row r="230" spans="15:15" x14ac:dyDescent="0.25">
      <c r="O230" s="186"/>
    </row>
    <row r="231" spans="15:15" x14ac:dyDescent="0.25">
      <c r="O231" s="186"/>
    </row>
    <row r="232" spans="15:15" x14ac:dyDescent="0.25">
      <c r="O232" s="186"/>
    </row>
    <row r="233" spans="15:15" x14ac:dyDescent="0.25">
      <c r="O233" s="186"/>
    </row>
    <row r="234" spans="15:15" x14ac:dyDescent="0.25">
      <c r="O234" s="186"/>
    </row>
    <row r="235" spans="15:15" x14ac:dyDescent="0.25">
      <c r="O235" s="186"/>
    </row>
    <row r="236" spans="15:15" x14ac:dyDescent="0.25">
      <c r="O236" s="186"/>
    </row>
    <row r="237" spans="15:15" x14ac:dyDescent="0.25">
      <c r="O237" s="186"/>
    </row>
    <row r="238" spans="15:15" x14ac:dyDescent="0.25">
      <c r="O238" s="186"/>
    </row>
    <row r="239" spans="15:15" x14ac:dyDescent="0.25">
      <c r="O239" s="186"/>
    </row>
    <row r="240" spans="15:15" x14ac:dyDescent="0.25">
      <c r="O240" s="186"/>
    </row>
    <row r="241" spans="15:15" x14ac:dyDescent="0.25">
      <c r="O241" s="186"/>
    </row>
    <row r="242" spans="15:15" x14ac:dyDescent="0.25">
      <c r="O242" s="186"/>
    </row>
    <row r="243" spans="15:15" x14ac:dyDescent="0.25">
      <c r="O243" s="186"/>
    </row>
    <row r="244" spans="15:15" x14ac:dyDescent="0.25">
      <c r="O244" s="186"/>
    </row>
    <row r="245" spans="15:15" x14ac:dyDescent="0.25">
      <c r="O245" s="186"/>
    </row>
    <row r="246" spans="15:15" x14ac:dyDescent="0.25">
      <c r="O246" s="186"/>
    </row>
    <row r="247" spans="15:15" x14ac:dyDescent="0.25">
      <c r="O247" s="186"/>
    </row>
    <row r="248" spans="15:15" x14ac:dyDescent="0.25">
      <c r="O248" s="186"/>
    </row>
    <row r="249" spans="15:15" x14ac:dyDescent="0.25">
      <c r="O249" s="186"/>
    </row>
    <row r="250" spans="15:15" x14ac:dyDescent="0.25">
      <c r="O250" s="186"/>
    </row>
    <row r="251" spans="15:15" x14ac:dyDescent="0.25">
      <c r="O251" s="186"/>
    </row>
    <row r="252" spans="15:15" x14ac:dyDescent="0.25">
      <c r="O252" s="186"/>
    </row>
    <row r="253" spans="15:15" x14ac:dyDescent="0.25">
      <c r="O253" s="186"/>
    </row>
    <row r="254" spans="15:15" x14ac:dyDescent="0.25">
      <c r="O254" s="186"/>
    </row>
    <row r="255" spans="15:15" x14ac:dyDescent="0.25">
      <c r="O255" s="186"/>
    </row>
    <row r="256" spans="15:15" x14ac:dyDescent="0.25">
      <c r="O256" s="186"/>
    </row>
    <row r="257" spans="15:15" x14ac:dyDescent="0.25">
      <c r="O257" s="186"/>
    </row>
    <row r="258" spans="15:15" x14ac:dyDescent="0.25">
      <c r="O258" s="186"/>
    </row>
    <row r="259" spans="15:15" x14ac:dyDescent="0.25">
      <c r="O259" s="186"/>
    </row>
    <row r="260" spans="15:15" x14ac:dyDescent="0.25">
      <c r="O260" s="186"/>
    </row>
    <row r="261" spans="15:15" x14ac:dyDescent="0.25">
      <c r="O261" s="186"/>
    </row>
    <row r="262" spans="15:15" x14ac:dyDescent="0.25">
      <c r="O262" s="186"/>
    </row>
    <row r="263" spans="15:15" x14ac:dyDescent="0.25">
      <c r="O263" s="186"/>
    </row>
    <row r="264" spans="15:15" x14ac:dyDescent="0.25">
      <c r="O264" s="186"/>
    </row>
    <row r="265" spans="15:15" x14ac:dyDescent="0.25">
      <c r="O265" s="186"/>
    </row>
    <row r="266" spans="15:15" x14ac:dyDescent="0.25">
      <c r="O266" s="186"/>
    </row>
    <row r="267" spans="15:15" x14ac:dyDescent="0.25">
      <c r="O267" s="186"/>
    </row>
    <row r="268" spans="15:15" x14ac:dyDescent="0.25">
      <c r="O268" s="186"/>
    </row>
    <row r="269" spans="15:15" x14ac:dyDescent="0.25">
      <c r="O269" s="186"/>
    </row>
    <row r="270" spans="15:15" x14ac:dyDescent="0.25">
      <c r="O270" s="186"/>
    </row>
    <row r="271" spans="15:15" x14ac:dyDescent="0.25">
      <c r="O271" s="186"/>
    </row>
    <row r="272" spans="15:15" x14ac:dyDescent="0.25">
      <c r="O272" s="186"/>
    </row>
    <row r="273" spans="15:15" x14ac:dyDescent="0.25">
      <c r="O273" s="186"/>
    </row>
    <row r="274" spans="15:15" x14ac:dyDescent="0.25">
      <c r="O274" s="186"/>
    </row>
    <row r="275" spans="15:15" x14ac:dyDescent="0.25">
      <c r="O275" s="186"/>
    </row>
    <row r="276" spans="15:15" x14ac:dyDescent="0.25">
      <c r="O276" s="186"/>
    </row>
    <row r="277" spans="15:15" x14ac:dyDescent="0.25">
      <c r="O277" s="186"/>
    </row>
    <row r="278" spans="15:15" x14ac:dyDescent="0.25">
      <c r="O278" s="186"/>
    </row>
    <row r="279" spans="15:15" x14ac:dyDescent="0.25">
      <c r="O279" s="186"/>
    </row>
    <row r="280" spans="15:15" x14ac:dyDescent="0.25">
      <c r="O280" s="186"/>
    </row>
    <row r="281" spans="15:15" x14ac:dyDescent="0.25">
      <c r="O281" s="186"/>
    </row>
    <row r="282" spans="15:15" x14ac:dyDescent="0.25">
      <c r="O282" s="186"/>
    </row>
    <row r="283" spans="15:15" x14ac:dyDescent="0.25">
      <c r="O283" s="186"/>
    </row>
  </sheetData>
  <mergeCells count="39">
    <mergeCell ref="B75:C75"/>
    <mergeCell ref="D75:F75"/>
    <mergeCell ref="G75:H75"/>
    <mergeCell ref="C84:D84"/>
    <mergeCell ref="I84:J84"/>
    <mergeCell ref="B76:C76"/>
    <mergeCell ref="D76:F76"/>
    <mergeCell ref="G76:H76"/>
    <mergeCell ref="C80:D80"/>
    <mergeCell ref="I80:J80"/>
    <mergeCell ref="C83:D83"/>
    <mergeCell ref="I83:J83"/>
    <mergeCell ref="B73:C73"/>
    <mergeCell ref="D73:F73"/>
    <mergeCell ref="G73:H73"/>
    <mergeCell ref="B74:C74"/>
    <mergeCell ref="D74:F74"/>
    <mergeCell ref="G74:H74"/>
    <mergeCell ref="J9:J10"/>
    <mergeCell ref="K9:K10"/>
    <mergeCell ref="B72:C72"/>
    <mergeCell ref="D72:F72"/>
    <mergeCell ref="G72:H72"/>
    <mergeCell ref="C70:I70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A1:L1"/>
    <mergeCell ref="A3:L3"/>
    <mergeCell ref="A6:L6"/>
    <mergeCell ref="A7:L7"/>
    <mergeCell ref="C8:G8"/>
    <mergeCell ref="H8:K8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283"/>
  <sheetViews>
    <sheetView topLeftCell="A4" zoomScale="140" zoomScaleNormal="140" workbookViewId="0">
      <selection activeCell="A8" sqref="A8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24.28515625" style="165" customWidth="1"/>
    <col min="14" max="14" width="16.5703125" style="169" customWidth="1"/>
    <col min="15" max="16" width="16.5703125" style="141"/>
    <col min="17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6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N1" s="186"/>
    </row>
    <row r="2" spans="1:16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186"/>
    </row>
    <row r="3" spans="1:16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N3" s="186"/>
    </row>
    <row r="4" spans="1:16" x14ac:dyDescent="0.25">
      <c r="A4" s="3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N4" s="186"/>
    </row>
    <row r="5" spans="1:16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  <c r="N5" s="186"/>
    </row>
    <row r="6" spans="1:16" x14ac:dyDescent="0.25">
      <c r="A6" s="334" t="s">
        <v>54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N6" s="186"/>
    </row>
    <row r="7" spans="1:16" x14ac:dyDescent="0.25">
      <c r="A7" s="334" t="s">
        <v>133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N7" s="186"/>
    </row>
    <row r="8" spans="1:16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  <c r="N8" s="186"/>
    </row>
    <row r="9" spans="1:16" s="17" customFormat="1" x14ac:dyDescent="0.25">
      <c r="A9" s="337" t="s">
        <v>5</v>
      </c>
      <c r="B9" s="340" t="s">
        <v>6</v>
      </c>
      <c r="C9" s="341" t="s">
        <v>7</v>
      </c>
      <c r="D9" s="341" t="s">
        <v>8</v>
      </c>
      <c r="E9" s="341" t="s">
        <v>9</v>
      </c>
      <c r="F9" s="340" t="s">
        <v>10</v>
      </c>
      <c r="G9" s="337" t="s">
        <v>11</v>
      </c>
      <c r="H9" s="341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166"/>
      <c r="N9" s="187"/>
      <c r="O9" s="142"/>
      <c r="P9" s="142"/>
    </row>
    <row r="10" spans="1:16" x14ac:dyDescent="0.25">
      <c r="A10" s="338"/>
      <c r="B10" s="340"/>
      <c r="C10" s="341"/>
      <c r="D10" s="341"/>
      <c r="E10" s="341"/>
      <c r="F10" s="340"/>
      <c r="G10" s="338"/>
      <c r="H10" s="341"/>
      <c r="I10" s="340"/>
      <c r="J10" s="340"/>
      <c r="K10" s="340"/>
      <c r="L10" s="8" t="s">
        <v>17</v>
      </c>
      <c r="N10" s="186"/>
      <c r="O10" s="151"/>
    </row>
    <row r="11" spans="1:16" s="17" customFormat="1" x14ac:dyDescent="0.25">
      <c r="A11" s="139" t="s">
        <v>18</v>
      </c>
      <c r="B11" s="14">
        <v>14556397.630000001</v>
      </c>
      <c r="C11" s="14">
        <v>5338781.6399999997</v>
      </c>
      <c r="D11" s="11">
        <v>0</v>
      </c>
      <c r="E11" s="14">
        <v>3811641.91</v>
      </c>
      <c r="F11" s="14">
        <f>+E11/C11</f>
        <v>0.71395351355857295</v>
      </c>
      <c r="G11" s="14">
        <f t="shared" ref="G11:G22" si="0">+C11+D11-E11</f>
        <v>1527139.7299999995</v>
      </c>
      <c r="H11" s="11">
        <f>79756.67+592016.57</f>
        <v>671773.24</v>
      </c>
      <c r="I11" s="14">
        <f>1075286.76+35846</f>
        <v>1111132.76</v>
      </c>
      <c r="J11" s="14">
        <f>2536+253230.27</f>
        <v>255766.27</v>
      </c>
      <c r="K11" s="14">
        <f>H11+I11-J11</f>
        <v>1527139.73</v>
      </c>
      <c r="L11" s="15">
        <f>+F11</f>
        <v>0.71395351355857295</v>
      </c>
      <c r="M11" s="62">
        <f>+K11-G11</f>
        <v>0</v>
      </c>
      <c r="N11" s="214">
        <f>+M11+M12</f>
        <v>0</v>
      </c>
      <c r="O11" s="153"/>
      <c r="P11" s="142"/>
    </row>
    <row r="12" spans="1:16" x14ac:dyDescent="0.2">
      <c r="A12" s="139" t="s">
        <v>20</v>
      </c>
      <c r="B12" s="14">
        <v>25163492</v>
      </c>
      <c r="C12" s="11">
        <v>11929707.27</v>
      </c>
      <c r="D12" s="11">
        <v>0</v>
      </c>
      <c r="E12" s="14">
        <v>11071147.51</v>
      </c>
      <c r="F12" s="14">
        <f t="shared" ref="F12:F17" si="1">+E12/C12</f>
        <v>0.92803178313024948</v>
      </c>
      <c r="G12" s="14">
        <f t="shared" si="0"/>
        <v>858559.75999999978</v>
      </c>
      <c r="H12" s="11">
        <f>30000+492169.01</f>
        <v>522169.01</v>
      </c>
      <c r="I12" s="14">
        <f>511295.09+29631.8</f>
        <v>540926.89</v>
      </c>
      <c r="J12" s="14">
        <f>128944-2000+77592.14</f>
        <v>204536.14</v>
      </c>
      <c r="K12" s="14">
        <f t="shared" ref="K12:K20" si="2">H12+I12-J12</f>
        <v>858559.75999999989</v>
      </c>
      <c r="L12" s="15">
        <f t="shared" ref="L12:L22" si="3">+F12</f>
        <v>0.92803178313024948</v>
      </c>
      <c r="M12" s="62">
        <f>+K12-G12</f>
        <v>0</v>
      </c>
      <c r="N12" s="211"/>
      <c r="O12" s="151"/>
    </row>
    <row r="13" spans="1:16" x14ac:dyDescent="0.2">
      <c r="A13" s="139" t="s">
        <v>21</v>
      </c>
      <c r="B13" s="14">
        <v>185773</v>
      </c>
      <c r="C13" s="11">
        <v>176846.65</v>
      </c>
      <c r="D13" s="11">
        <v>0</v>
      </c>
      <c r="E13" s="11">
        <v>0</v>
      </c>
      <c r="F13" s="14">
        <f t="shared" si="1"/>
        <v>0</v>
      </c>
      <c r="G13" s="14">
        <f t="shared" si="0"/>
        <v>176846.65</v>
      </c>
      <c r="H13" s="11">
        <v>176856.65</v>
      </c>
      <c r="I13" s="14">
        <v>0</v>
      </c>
      <c r="J13" s="14">
        <v>10</v>
      </c>
      <c r="K13" s="14">
        <f t="shared" si="2"/>
        <v>176846.65</v>
      </c>
      <c r="L13" s="15">
        <f t="shared" si="3"/>
        <v>0</v>
      </c>
      <c r="M13" s="62">
        <f>+K13-G13</f>
        <v>0</v>
      </c>
      <c r="N13" s="210"/>
    </row>
    <row r="14" spans="1:16" x14ac:dyDescent="0.2">
      <c r="A14" s="139" t="s">
        <v>22</v>
      </c>
      <c r="B14" s="14">
        <v>388669</v>
      </c>
      <c r="C14" s="11">
        <v>266103.28999999998</v>
      </c>
      <c r="D14" s="11">
        <v>0</v>
      </c>
      <c r="E14" s="11">
        <v>0</v>
      </c>
      <c r="F14" s="14">
        <f t="shared" si="1"/>
        <v>0</v>
      </c>
      <c r="G14" s="14">
        <f t="shared" si="0"/>
        <v>266103.28999999998</v>
      </c>
      <c r="H14" s="11">
        <v>266113.28999999998</v>
      </c>
      <c r="I14" s="14">
        <v>0</v>
      </c>
      <c r="J14" s="14">
        <v>10</v>
      </c>
      <c r="K14" s="14">
        <f t="shared" si="2"/>
        <v>266103.28999999998</v>
      </c>
      <c r="L14" s="15">
        <f t="shared" si="3"/>
        <v>0</v>
      </c>
      <c r="M14" s="62">
        <f>+K14-G14</f>
        <v>0</v>
      </c>
      <c r="N14" s="210"/>
    </row>
    <row r="15" spans="1:16" x14ac:dyDescent="0.2">
      <c r="A15" s="139" t="s">
        <v>23</v>
      </c>
      <c r="B15" s="14">
        <v>1307315</v>
      </c>
      <c r="C15" s="11">
        <v>554270.14</v>
      </c>
      <c r="D15" s="11">
        <v>0</v>
      </c>
      <c r="E15" s="11">
        <v>121900.29</v>
      </c>
      <c r="F15" s="14">
        <f t="shared" si="1"/>
        <v>0.21992938317045185</v>
      </c>
      <c r="G15" s="14">
        <f t="shared" si="0"/>
        <v>432369.85000000003</v>
      </c>
      <c r="H15" s="11">
        <v>432379.85</v>
      </c>
      <c r="I15" s="14">
        <v>0</v>
      </c>
      <c r="J15" s="14">
        <v>10</v>
      </c>
      <c r="K15" s="14">
        <f t="shared" si="2"/>
        <v>432369.85</v>
      </c>
      <c r="L15" s="15">
        <f t="shared" si="3"/>
        <v>0.21992938317045185</v>
      </c>
      <c r="M15" s="62">
        <f t="shared" ref="M15:M20" si="4">+K15-G15</f>
        <v>0</v>
      </c>
      <c r="N15" s="210"/>
    </row>
    <row r="16" spans="1:16" x14ac:dyDescent="0.2">
      <c r="A16" s="139" t="s">
        <v>24</v>
      </c>
      <c r="B16" s="14">
        <v>14002815</v>
      </c>
      <c r="C16" s="11">
        <v>6403971.0300000003</v>
      </c>
      <c r="D16" s="11">
        <v>0</v>
      </c>
      <c r="E16" s="14">
        <v>5585166.2199999997</v>
      </c>
      <c r="F16" s="14">
        <f t="shared" si="1"/>
        <v>0.87214108150017655</v>
      </c>
      <c r="G16" s="14">
        <f t="shared" si="0"/>
        <v>818804.81000000052</v>
      </c>
      <c r="H16" s="11">
        <v>1906378.7</v>
      </c>
      <c r="I16" s="14">
        <f>112998.14+8750</f>
        <v>121748.14</v>
      </c>
      <c r="J16" s="14">
        <f>62245+2000+1145077.03</f>
        <v>1209322.03</v>
      </c>
      <c r="K16" s="14">
        <f t="shared" si="2"/>
        <v>818804.80999999982</v>
      </c>
      <c r="L16" s="15">
        <f t="shared" si="3"/>
        <v>0.87214108150017655</v>
      </c>
      <c r="M16" s="62">
        <f t="shared" si="4"/>
        <v>0</v>
      </c>
      <c r="N16" s="210"/>
      <c r="O16" s="151"/>
    </row>
    <row r="17" spans="1:18" x14ac:dyDescent="0.2">
      <c r="A17" s="139" t="s">
        <v>25</v>
      </c>
      <c r="B17" s="14">
        <v>463393</v>
      </c>
      <c r="C17" s="11">
        <v>471005.75</v>
      </c>
      <c r="D17" s="11">
        <v>0</v>
      </c>
      <c r="E17" s="14">
        <v>188168.2</v>
      </c>
      <c r="F17" s="14">
        <f t="shared" si="1"/>
        <v>0.39950297846682342</v>
      </c>
      <c r="G17" s="14">
        <f t="shared" si="0"/>
        <v>282837.55</v>
      </c>
      <c r="H17" s="11">
        <v>231132.68</v>
      </c>
      <c r="I17" s="14">
        <v>51714.87</v>
      </c>
      <c r="J17" s="14">
        <v>10</v>
      </c>
      <c r="K17" s="14">
        <f t="shared" si="2"/>
        <v>282837.55</v>
      </c>
      <c r="L17" s="15">
        <f t="shared" si="3"/>
        <v>0.39950297846682342</v>
      </c>
      <c r="M17" s="62">
        <f t="shared" si="4"/>
        <v>0</v>
      </c>
      <c r="N17" s="210"/>
    </row>
    <row r="18" spans="1:18" x14ac:dyDescent="0.2">
      <c r="A18" s="139" t="s">
        <v>53</v>
      </c>
      <c r="B18" s="14">
        <v>0</v>
      </c>
      <c r="C18" s="11">
        <v>400047.15</v>
      </c>
      <c r="D18" s="11">
        <v>0</v>
      </c>
      <c r="E18" s="11">
        <v>0</v>
      </c>
      <c r="F18" s="14">
        <v>0</v>
      </c>
      <c r="G18" s="14">
        <f t="shared" si="0"/>
        <v>400047.15</v>
      </c>
      <c r="H18" s="11">
        <v>400047.15</v>
      </c>
      <c r="I18" s="14">
        <v>0</v>
      </c>
      <c r="J18" s="14">
        <v>0</v>
      </c>
      <c r="K18" s="14">
        <f t="shared" si="2"/>
        <v>400047.15</v>
      </c>
      <c r="L18" s="15">
        <f t="shared" si="3"/>
        <v>0</v>
      </c>
      <c r="M18" s="62">
        <f t="shared" si="4"/>
        <v>0</v>
      </c>
      <c r="N18" s="210"/>
    </row>
    <row r="19" spans="1:18" x14ac:dyDescent="0.2">
      <c r="A19" s="139" t="s">
        <v>27</v>
      </c>
      <c r="B19" s="14">
        <v>0</v>
      </c>
      <c r="C19" s="11">
        <v>0</v>
      </c>
      <c r="D19" s="11">
        <v>0</v>
      </c>
      <c r="E19" s="11">
        <v>0</v>
      </c>
      <c r="F19" s="14">
        <v>0</v>
      </c>
      <c r="G19" s="14">
        <f t="shared" si="0"/>
        <v>0</v>
      </c>
      <c r="H19" s="11">
        <v>0</v>
      </c>
      <c r="I19" s="14">
        <v>0</v>
      </c>
      <c r="J19" s="14">
        <v>0</v>
      </c>
      <c r="K19" s="14">
        <f t="shared" si="2"/>
        <v>0</v>
      </c>
      <c r="L19" s="15">
        <f t="shared" si="3"/>
        <v>0</v>
      </c>
      <c r="M19" s="62">
        <f t="shared" si="4"/>
        <v>0</v>
      </c>
      <c r="N19" s="210"/>
    </row>
    <row r="20" spans="1:18" x14ac:dyDescent="0.2">
      <c r="A20" s="139" t="s">
        <v>28</v>
      </c>
      <c r="B20" s="14">
        <v>47686</v>
      </c>
      <c r="C20" s="11">
        <v>25005.33</v>
      </c>
      <c r="D20" s="11">
        <v>0</v>
      </c>
      <c r="E20" s="11">
        <v>0</v>
      </c>
      <c r="F20" s="14">
        <v>0</v>
      </c>
      <c r="G20" s="14">
        <f t="shared" si="0"/>
        <v>25005.33</v>
      </c>
      <c r="H20" s="11">
        <v>25015.33</v>
      </c>
      <c r="I20" s="14">
        <v>0</v>
      </c>
      <c r="J20" s="14">
        <v>10</v>
      </c>
      <c r="K20" s="14">
        <f t="shared" si="2"/>
        <v>25005.33</v>
      </c>
      <c r="L20" s="15">
        <f t="shared" si="3"/>
        <v>0</v>
      </c>
      <c r="M20" s="62">
        <f t="shared" si="4"/>
        <v>0</v>
      </c>
      <c r="N20" s="212"/>
    </row>
    <row r="21" spans="1:18" x14ac:dyDescent="0.2">
      <c r="A21" s="139" t="s">
        <v>29</v>
      </c>
      <c r="B21" s="14">
        <v>27972730</v>
      </c>
      <c r="C21" s="11">
        <v>14679030</v>
      </c>
      <c r="D21" s="11">
        <f>34320.14-D23</f>
        <v>33480.86</v>
      </c>
      <c r="E21" s="11">
        <v>0</v>
      </c>
      <c r="F21" s="14">
        <f>+E21/C21</f>
        <v>0</v>
      </c>
      <c r="G21" s="14">
        <f t="shared" si="0"/>
        <v>14712510.859999999</v>
      </c>
      <c r="H21" s="11">
        <v>14712520.859999999</v>
      </c>
      <c r="I21" s="14">
        <v>0</v>
      </c>
      <c r="J21" s="14">
        <v>10</v>
      </c>
      <c r="K21" s="14">
        <f>H21+I21-J21</f>
        <v>14712510.859999999</v>
      </c>
      <c r="L21" s="15">
        <f t="shared" si="3"/>
        <v>0</v>
      </c>
      <c r="M21" s="62">
        <f>+K21-G21</f>
        <v>0</v>
      </c>
      <c r="N21" s="212"/>
    </row>
    <row r="22" spans="1:18" x14ac:dyDescent="0.2">
      <c r="A22" s="139" t="s">
        <v>30</v>
      </c>
      <c r="B22" s="14">
        <v>21170980</v>
      </c>
      <c r="C22" s="11">
        <v>9611289.8499999996</v>
      </c>
      <c r="D22" s="11">
        <v>0</v>
      </c>
      <c r="E22" s="14">
        <v>8613721.9900000002</v>
      </c>
      <c r="F22" s="14">
        <f>+E22/C22</f>
        <v>0.89620874247175064</v>
      </c>
      <c r="G22" s="14">
        <f t="shared" si="0"/>
        <v>997567.8599999994</v>
      </c>
      <c r="H22" s="11">
        <v>2080940.58</v>
      </c>
      <c r="I22" s="14">
        <f>19182.99+25370</f>
        <v>44552.990000000005</v>
      </c>
      <c r="J22" s="14">
        <f>19584+1108341.71</f>
        <v>1127925.71</v>
      </c>
      <c r="K22" s="14">
        <f>H22+I22-J22</f>
        <v>997567.86000000034</v>
      </c>
      <c r="L22" s="15">
        <f t="shared" si="3"/>
        <v>0.89620874247175064</v>
      </c>
      <c r="M22" s="107">
        <f>+K22-G22</f>
        <v>9.3132257461547852E-10</v>
      </c>
      <c r="N22" s="213"/>
      <c r="Q22" s="141"/>
      <c r="R22" s="144"/>
    </row>
    <row r="23" spans="1:18" x14ac:dyDescent="0.2">
      <c r="A23" s="139" t="s">
        <v>57</v>
      </c>
      <c r="B23" s="14">
        <v>0</v>
      </c>
      <c r="C23" s="11">
        <v>1483495.05</v>
      </c>
      <c r="D23" s="11">
        <v>839.28</v>
      </c>
      <c r="E23" s="14">
        <v>0</v>
      </c>
      <c r="F23" s="14">
        <f>+E23/C23</f>
        <v>0</v>
      </c>
      <c r="G23" s="14">
        <f>+C23+D23-E23</f>
        <v>1484334.33</v>
      </c>
      <c r="H23" s="11">
        <v>1489334.33</v>
      </c>
      <c r="I23" s="14">
        <v>0</v>
      </c>
      <c r="J23" s="14">
        <v>5000</v>
      </c>
      <c r="K23" s="14">
        <f>H23+I23-J23</f>
        <v>1484334.33</v>
      </c>
      <c r="L23" s="15">
        <f>+F23</f>
        <v>0</v>
      </c>
      <c r="M23" s="107">
        <f>+K23-G23</f>
        <v>0</v>
      </c>
      <c r="N23" s="213"/>
      <c r="Q23" s="141"/>
      <c r="R23" s="144"/>
    </row>
    <row r="24" spans="1:18" s="5" customFormat="1" x14ac:dyDescent="0.2">
      <c r="A24" s="20" t="s">
        <v>60</v>
      </c>
      <c r="B24" s="21">
        <f>SUM(B11:B23)</f>
        <v>105259250.63</v>
      </c>
      <c r="C24" s="21">
        <f>SUM(C11:C23)</f>
        <v>51339553.149999999</v>
      </c>
      <c r="D24" s="21">
        <f t="shared" ref="D24:K24" si="5">SUM(D11:D22)</f>
        <v>33480.86</v>
      </c>
      <c r="E24" s="21">
        <f t="shared" si="5"/>
        <v>29391746.119999997</v>
      </c>
      <c r="F24" s="21">
        <f t="shared" si="5"/>
        <v>4.0297674822980252</v>
      </c>
      <c r="G24" s="21">
        <f t="shared" si="5"/>
        <v>20497792.84</v>
      </c>
      <c r="H24" s="21">
        <f t="shared" si="5"/>
        <v>21425327.339999996</v>
      </c>
      <c r="I24" s="21">
        <f t="shared" si="5"/>
        <v>1870075.65</v>
      </c>
      <c r="J24" s="21">
        <f t="shared" si="5"/>
        <v>2797610.15</v>
      </c>
      <c r="K24" s="21">
        <f t="shared" si="5"/>
        <v>20497792.84</v>
      </c>
      <c r="L24" s="23"/>
      <c r="M24" s="118">
        <f>SUM(M11:M22)</f>
        <v>9.3132257461547852E-10</v>
      </c>
      <c r="N24" s="203"/>
      <c r="O24" s="143"/>
      <c r="P24" s="143"/>
    </row>
    <row r="25" spans="1:18" s="17" customFormat="1" x14ac:dyDescent="0.25">
      <c r="A25" s="139" t="s">
        <v>18</v>
      </c>
      <c r="B25" s="10">
        <v>9668787.5</v>
      </c>
      <c r="C25" s="10">
        <f>+B25-8808992.11</f>
        <v>859795.3900000006</v>
      </c>
      <c r="D25" s="11">
        <v>0</v>
      </c>
      <c r="E25" s="10">
        <v>126202.22</v>
      </c>
      <c r="F25" s="12">
        <f>+E25/C25</f>
        <v>0.14678168953662327</v>
      </c>
      <c r="G25" s="109">
        <f t="shared" ref="G25:G38" si="6">+C25+D25-E25</f>
        <v>733593.17000000062</v>
      </c>
      <c r="H25" s="11">
        <v>760336.44</v>
      </c>
      <c r="I25" s="14">
        <f>35750.7+49054.32+10000+17400</f>
        <v>112205.01999999999</v>
      </c>
      <c r="J25" s="14">
        <f>42293+3275.91+3277.52+90101.86</f>
        <v>138948.29</v>
      </c>
      <c r="K25" s="14">
        <f>H25+I25-J25</f>
        <v>733593.16999999993</v>
      </c>
      <c r="L25" s="15">
        <f>+F25</f>
        <v>0.14678168953662327</v>
      </c>
      <c r="M25" s="62">
        <f t="shared" ref="M25:M38" si="7">+K25-G25</f>
        <v>0</v>
      </c>
      <c r="N25" s="188"/>
      <c r="O25" s="153"/>
      <c r="P25" s="142"/>
    </row>
    <row r="26" spans="1:18" x14ac:dyDescent="0.2">
      <c r="A26" s="139" t="s">
        <v>20</v>
      </c>
      <c r="B26" s="10">
        <v>27138333.23</v>
      </c>
      <c r="C26" s="10">
        <f>+B26-26415966.23</f>
        <v>722367</v>
      </c>
      <c r="D26" s="11">
        <v>0</v>
      </c>
      <c r="E26" s="10">
        <v>827988.6</v>
      </c>
      <c r="F26" s="12">
        <f t="shared" ref="F26:F31" si="8">+E26/C26</f>
        <v>1.1462159816270676</v>
      </c>
      <c r="G26" s="10">
        <f t="shared" si="6"/>
        <v>-105621.59999999998</v>
      </c>
      <c r="H26" s="13">
        <v>1247074.73</v>
      </c>
      <c r="I26" s="14">
        <f>171846+1000</f>
        <v>172846</v>
      </c>
      <c r="J26" s="14">
        <f>1307677+16708.93+21550.06+179606.34</f>
        <v>1525542.33</v>
      </c>
      <c r="K26" s="14">
        <f t="shared" ref="K26:K33" si="9">H26+I26-J26</f>
        <v>-105621.60000000009</v>
      </c>
      <c r="L26" s="15">
        <f t="shared" ref="L26:L38" si="10">+F26</f>
        <v>1.1462159816270676</v>
      </c>
      <c r="M26" s="62">
        <f t="shared" si="7"/>
        <v>-1.1641532182693481E-10</v>
      </c>
      <c r="N26" s="184"/>
      <c r="O26" s="151"/>
    </row>
    <row r="27" spans="1:18" x14ac:dyDescent="0.2">
      <c r="A27" s="139" t="s">
        <v>21</v>
      </c>
      <c r="B27" s="10">
        <v>321506.03999999998</v>
      </c>
      <c r="C27" s="10">
        <f>+B27-280892.37</f>
        <v>40613.669999999984</v>
      </c>
      <c r="D27" s="11">
        <v>0</v>
      </c>
      <c r="E27" s="11">
        <v>40613.67</v>
      </c>
      <c r="F27" s="12">
        <f t="shared" si="8"/>
        <v>1.0000000000000004</v>
      </c>
      <c r="G27" s="109">
        <f t="shared" si="6"/>
        <v>0</v>
      </c>
      <c r="H27" s="13">
        <v>0</v>
      </c>
      <c r="I27" s="14">
        <v>0</v>
      </c>
      <c r="J27" s="14">
        <v>0</v>
      </c>
      <c r="K27" s="14">
        <f t="shared" si="9"/>
        <v>0</v>
      </c>
      <c r="L27" s="15">
        <f t="shared" si="10"/>
        <v>1.0000000000000004</v>
      </c>
      <c r="M27" s="62">
        <f t="shared" si="7"/>
        <v>0</v>
      </c>
      <c r="N27" s="183"/>
    </row>
    <row r="28" spans="1:18" x14ac:dyDescent="0.2">
      <c r="A28" s="139" t="s">
        <v>22</v>
      </c>
      <c r="B28" s="10">
        <v>570803.89</v>
      </c>
      <c r="C28" s="10">
        <f>+B28-491970.23</f>
        <v>78833.660000000033</v>
      </c>
      <c r="D28" s="11">
        <v>0</v>
      </c>
      <c r="E28" s="11">
        <v>78833.66</v>
      </c>
      <c r="F28" s="12">
        <f t="shared" si="8"/>
        <v>0.99999999999999967</v>
      </c>
      <c r="G28" s="109">
        <f t="shared" si="6"/>
        <v>0</v>
      </c>
      <c r="H28" s="13">
        <v>0</v>
      </c>
      <c r="I28" s="14">
        <v>0</v>
      </c>
      <c r="J28" s="14">
        <v>0</v>
      </c>
      <c r="K28" s="14">
        <f t="shared" si="9"/>
        <v>0</v>
      </c>
      <c r="L28" s="15">
        <f t="shared" si="10"/>
        <v>0.99999999999999967</v>
      </c>
      <c r="M28" s="62">
        <f t="shared" si="7"/>
        <v>0</v>
      </c>
      <c r="N28" s="183"/>
    </row>
    <row r="29" spans="1:18" x14ac:dyDescent="0.2">
      <c r="A29" s="139" t="s">
        <v>23</v>
      </c>
      <c r="B29" s="10">
        <v>1307693.44</v>
      </c>
      <c r="C29" s="10">
        <f>+B29-1273287.15</f>
        <v>34406.290000000037</v>
      </c>
      <c r="D29" s="11">
        <v>0</v>
      </c>
      <c r="E29" s="11">
        <v>34406.29</v>
      </c>
      <c r="F29" s="12">
        <f t="shared" si="8"/>
        <v>0.99999999999999889</v>
      </c>
      <c r="G29" s="109">
        <f t="shared" si="6"/>
        <v>0</v>
      </c>
      <c r="H29" s="13">
        <v>0</v>
      </c>
      <c r="I29" s="14">
        <v>0</v>
      </c>
      <c r="J29" s="14">
        <v>0</v>
      </c>
      <c r="K29" s="14">
        <f t="shared" si="9"/>
        <v>0</v>
      </c>
      <c r="L29" s="15">
        <f t="shared" si="10"/>
        <v>0.99999999999999889</v>
      </c>
      <c r="M29" s="62">
        <f t="shared" si="7"/>
        <v>0</v>
      </c>
      <c r="N29" s="183"/>
    </row>
    <row r="30" spans="1:18" x14ac:dyDescent="0.2">
      <c r="A30" s="139" t="s">
        <v>24</v>
      </c>
      <c r="B30" s="10">
        <v>14234360.859999999</v>
      </c>
      <c r="C30" s="10">
        <f>+B30-14197791.76</f>
        <v>36569.099999999627</v>
      </c>
      <c r="D30" s="11">
        <v>0</v>
      </c>
      <c r="E30" s="10">
        <v>208.8</v>
      </c>
      <c r="F30" s="12">
        <f t="shared" si="8"/>
        <v>5.7097385497592813E-3</v>
      </c>
      <c r="G30" s="109">
        <f t="shared" si="6"/>
        <v>36360.299999999625</v>
      </c>
      <c r="H30" s="13">
        <v>-340080.7</v>
      </c>
      <c r="I30" s="14">
        <v>782752</v>
      </c>
      <c r="J30" s="14">
        <f>280823+125488</f>
        <v>406311</v>
      </c>
      <c r="K30" s="14">
        <f t="shared" si="9"/>
        <v>36360.299999999988</v>
      </c>
      <c r="L30" s="15">
        <f t="shared" si="10"/>
        <v>5.7097385497592813E-3</v>
      </c>
      <c r="M30" s="62">
        <f t="shared" si="7"/>
        <v>3.637978807091713E-10</v>
      </c>
      <c r="N30" s="183"/>
      <c r="O30" s="151"/>
    </row>
    <row r="31" spans="1:18" x14ac:dyDescent="0.2">
      <c r="A31" s="139" t="s">
        <v>25</v>
      </c>
      <c r="B31" s="10">
        <v>658261.61</v>
      </c>
      <c r="C31" s="10">
        <f>+B31-367499.68</f>
        <v>290761.93</v>
      </c>
      <c r="D31" s="11">
        <v>0</v>
      </c>
      <c r="E31" s="10">
        <v>281389.86</v>
      </c>
      <c r="F31" s="12">
        <f t="shared" si="8"/>
        <v>0.96776720391146109</v>
      </c>
      <c r="G31" s="109">
        <f t="shared" si="6"/>
        <v>9372.070000000007</v>
      </c>
      <c r="H31" s="13">
        <v>56340.94</v>
      </c>
      <c r="I31" s="14">
        <v>0</v>
      </c>
      <c r="J31" s="14">
        <v>46968.87</v>
      </c>
      <c r="K31" s="14">
        <f t="shared" si="9"/>
        <v>9372.07</v>
      </c>
      <c r="L31" s="15">
        <f t="shared" si="10"/>
        <v>0.96776720391146109</v>
      </c>
      <c r="M31" s="62">
        <f t="shared" si="7"/>
        <v>0</v>
      </c>
      <c r="N31" s="183"/>
    </row>
    <row r="32" spans="1:18" x14ac:dyDescent="0.2">
      <c r="A32" s="139" t="s">
        <v>53</v>
      </c>
      <c r="B32" s="10">
        <v>158979.12</v>
      </c>
      <c r="C32" s="10">
        <f>+B32</f>
        <v>158979.12</v>
      </c>
      <c r="D32" s="11">
        <v>0</v>
      </c>
      <c r="E32" s="11">
        <v>120000</v>
      </c>
      <c r="F32" s="12">
        <v>0</v>
      </c>
      <c r="G32" s="201">
        <f t="shared" si="6"/>
        <v>38979.119999999995</v>
      </c>
      <c r="H32" s="11">
        <v>43979.12</v>
      </c>
      <c r="I32" s="14">
        <v>0</v>
      </c>
      <c r="J32" s="14">
        <v>5000</v>
      </c>
      <c r="K32" s="14">
        <f t="shared" si="9"/>
        <v>38979.120000000003</v>
      </c>
      <c r="L32" s="15">
        <f t="shared" si="10"/>
        <v>0</v>
      </c>
      <c r="M32" s="62">
        <f t="shared" si="7"/>
        <v>0</v>
      </c>
      <c r="N32" s="183"/>
    </row>
    <row r="33" spans="1:18" x14ac:dyDescent="0.2">
      <c r="A33" s="139" t="s">
        <v>28</v>
      </c>
      <c r="B33" s="10">
        <v>47798.07</v>
      </c>
      <c r="C33" s="10">
        <f>+B33-23516.14</f>
        <v>24281.93</v>
      </c>
      <c r="D33" s="11">
        <v>0</v>
      </c>
      <c r="E33" s="11">
        <v>0</v>
      </c>
      <c r="F33" s="12">
        <v>0</v>
      </c>
      <c r="G33" s="201">
        <f t="shared" si="6"/>
        <v>24281.93</v>
      </c>
      <c r="H33" s="11">
        <v>24281.93</v>
      </c>
      <c r="I33" s="14">
        <v>0</v>
      </c>
      <c r="J33" s="14">
        <v>0</v>
      </c>
      <c r="K33" s="14">
        <f t="shared" si="9"/>
        <v>24281.93</v>
      </c>
      <c r="L33" s="15">
        <f t="shared" si="10"/>
        <v>0</v>
      </c>
      <c r="M33" s="62">
        <f t="shared" si="7"/>
        <v>0</v>
      </c>
      <c r="N33" s="152"/>
    </row>
    <row r="34" spans="1:18" x14ac:dyDescent="0.2">
      <c r="A34" s="139" t="s">
        <v>29</v>
      </c>
      <c r="B34" s="10">
        <v>27972730</v>
      </c>
      <c r="C34" s="10">
        <f>+B34-27809818.06</f>
        <v>162911.94000000134</v>
      </c>
      <c r="D34" s="11">
        <v>186451.15</v>
      </c>
      <c r="E34" s="11">
        <v>0</v>
      </c>
      <c r="F34" s="12">
        <f>+E34/C34</f>
        <v>0</v>
      </c>
      <c r="G34" s="109">
        <f t="shared" si="6"/>
        <v>349363.09000000136</v>
      </c>
      <c r="H34" s="13">
        <v>656033.13</v>
      </c>
      <c r="I34" s="14">
        <f>-1</f>
        <v>-1</v>
      </c>
      <c r="J34" s="14">
        <f>219666.96+67322.53+19679.55</f>
        <v>306669.03999999998</v>
      </c>
      <c r="K34" s="14">
        <f>H34+I34-J34</f>
        <v>349363.09</v>
      </c>
      <c r="L34" s="15">
        <f t="shared" si="10"/>
        <v>0</v>
      </c>
      <c r="M34" s="62">
        <f t="shared" si="7"/>
        <v>-1.3387762010097504E-9</v>
      </c>
      <c r="N34" s="184"/>
    </row>
    <row r="35" spans="1:18" x14ac:dyDescent="0.2">
      <c r="A35" s="139" t="s">
        <v>30</v>
      </c>
      <c r="B35" s="10">
        <v>21170988.52</v>
      </c>
      <c r="C35" s="10">
        <f>+B35-21163370.79</f>
        <v>7617.730000000447</v>
      </c>
      <c r="D35" s="11">
        <v>0</v>
      </c>
      <c r="E35" s="10">
        <v>0</v>
      </c>
      <c r="F35" s="12">
        <f>+E35/C35</f>
        <v>0</v>
      </c>
      <c r="G35" s="109">
        <f t="shared" si="6"/>
        <v>7617.730000000447</v>
      </c>
      <c r="H35" s="13">
        <v>113156.96</v>
      </c>
      <c r="I35" s="14">
        <f>63664.06+25043.71</f>
        <v>88707.76999999999</v>
      </c>
      <c r="J35" s="14">
        <f>170257+6000+17990</f>
        <v>194247</v>
      </c>
      <c r="K35" s="14">
        <f>H35+I35-J35</f>
        <v>7617.7299999999814</v>
      </c>
      <c r="L35" s="15">
        <f t="shared" si="10"/>
        <v>0</v>
      </c>
      <c r="M35" s="107">
        <f t="shared" si="7"/>
        <v>-4.6566128730773926E-10</v>
      </c>
      <c r="N35" s="185"/>
      <c r="Q35" s="141"/>
      <c r="R35" s="144"/>
    </row>
    <row r="36" spans="1:18" ht="27" x14ac:dyDescent="0.2">
      <c r="A36" s="139" t="s">
        <v>56</v>
      </c>
      <c r="B36" s="10">
        <v>1500000</v>
      </c>
      <c r="C36" s="10">
        <f>1500000-1499965.2</f>
        <v>34.800000000046566</v>
      </c>
      <c r="D36" s="11">
        <v>0</v>
      </c>
      <c r="E36" s="10">
        <v>0</v>
      </c>
      <c r="F36" s="12">
        <f>+E36/C36</f>
        <v>0</v>
      </c>
      <c r="G36" s="109">
        <f t="shared" si="6"/>
        <v>34.800000000046566</v>
      </c>
      <c r="H36" s="13">
        <v>34.799999999999997</v>
      </c>
      <c r="I36" s="14">
        <v>0</v>
      </c>
      <c r="J36" s="14">
        <v>0</v>
      </c>
      <c r="K36" s="14">
        <f>H36+I36-J36</f>
        <v>34.799999999999997</v>
      </c>
      <c r="L36" s="15">
        <f t="shared" si="10"/>
        <v>0</v>
      </c>
      <c r="M36" s="107">
        <f t="shared" si="7"/>
        <v>-4.6568970901716966E-11</v>
      </c>
      <c r="N36" s="185"/>
      <c r="Q36" s="141"/>
      <c r="R36" s="144"/>
    </row>
    <row r="37" spans="1:18" x14ac:dyDescent="0.2">
      <c r="A37" s="139" t="s">
        <v>58</v>
      </c>
      <c r="B37" s="10">
        <v>8800000</v>
      </c>
      <c r="C37" s="10">
        <f>+B37-8793327.97</f>
        <v>6672.0299999993294</v>
      </c>
      <c r="D37" s="11">
        <v>0</v>
      </c>
      <c r="E37" s="10">
        <v>0</v>
      </c>
      <c r="F37" s="12">
        <f>+E37/C37</f>
        <v>0</v>
      </c>
      <c r="G37" s="109">
        <f t="shared" si="6"/>
        <v>6672.0299999993294</v>
      </c>
      <c r="H37" s="13">
        <v>136749.53</v>
      </c>
      <c r="I37" s="14">
        <v>0</v>
      </c>
      <c r="J37" s="14">
        <f>75804.55+37902.27+11370.68+5000</f>
        <v>130077.5</v>
      </c>
      <c r="K37" s="14">
        <f>H37+I37-J37</f>
        <v>6672.0299999999988</v>
      </c>
      <c r="L37" s="15">
        <f t="shared" si="10"/>
        <v>0</v>
      </c>
      <c r="M37" s="107">
        <f t="shared" si="7"/>
        <v>6.6938810050487518E-10</v>
      </c>
      <c r="N37" s="185"/>
      <c r="Q37" s="141"/>
      <c r="R37" s="144"/>
    </row>
    <row r="38" spans="1:18" x14ac:dyDescent="0.2">
      <c r="A38" s="139" t="s">
        <v>57</v>
      </c>
      <c r="B38" s="10">
        <v>3362600</v>
      </c>
      <c r="C38" s="10">
        <f>+B38-3361389.36</f>
        <v>1210.6400000001304</v>
      </c>
      <c r="D38" s="11">
        <v>0</v>
      </c>
      <c r="E38" s="10">
        <v>0</v>
      </c>
      <c r="F38" s="12">
        <f>+E38/C38</f>
        <v>0</v>
      </c>
      <c r="G38" s="109">
        <f t="shared" si="6"/>
        <v>1210.6400000001304</v>
      </c>
      <c r="H38" s="13">
        <v>54023.49</v>
      </c>
      <c r="I38" s="14">
        <v>0</v>
      </c>
      <c r="J38" s="14">
        <f>28977.48+14488.74+4346.63+5000</f>
        <v>52812.85</v>
      </c>
      <c r="K38" s="14">
        <f>H38+I38-J38</f>
        <v>1210.6399999999994</v>
      </c>
      <c r="L38" s="15">
        <f t="shared" si="10"/>
        <v>0</v>
      </c>
      <c r="M38" s="107">
        <f t="shared" si="7"/>
        <v>-1.3096723705530167E-10</v>
      </c>
      <c r="N38" s="185"/>
      <c r="Q38" s="141"/>
      <c r="R38" s="144"/>
    </row>
    <row r="39" spans="1:18" s="5" customFormat="1" x14ac:dyDescent="0.2">
      <c r="A39" s="20" t="s">
        <v>51</v>
      </c>
      <c r="B39" s="21">
        <f t="shared" ref="B39:K39" si="11">SUM(B25:B35)</f>
        <v>103250242.27999999</v>
      </c>
      <c r="C39" s="21">
        <f t="shared" si="11"/>
        <v>2417137.7600000021</v>
      </c>
      <c r="D39" s="21">
        <f t="shared" si="11"/>
        <v>186451.15</v>
      </c>
      <c r="E39" s="21">
        <f t="shared" si="11"/>
        <v>1509643.1</v>
      </c>
      <c r="F39" s="21">
        <f t="shared" si="11"/>
        <v>5.2664746136249105</v>
      </c>
      <c r="G39" s="21">
        <f t="shared" si="11"/>
        <v>1093945.8100000019</v>
      </c>
      <c r="H39" s="21">
        <f t="shared" si="11"/>
        <v>2561122.5499999998</v>
      </c>
      <c r="I39" s="21">
        <f t="shared" si="11"/>
        <v>1156509.79</v>
      </c>
      <c r="J39" s="21">
        <f t="shared" si="11"/>
        <v>2623686.5300000003</v>
      </c>
      <c r="K39" s="21">
        <f t="shared" si="11"/>
        <v>1093945.8099999998</v>
      </c>
      <c r="L39" s="23"/>
      <c r="M39" s="61"/>
      <c r="N39" s="203"/>
      <c r="O39" s="143"/>
      <c r="P39" s="143"/>
    </row>
    <row r="40" spans="1:18" s="17" customFormat="1" x14ac:dyDescent="0.25">
      <c r="A40" s="139" t="s">
        <v>18</v>
      </c>
      <c r="B40" s="10">
        <f>+C40</f>
        <v>557287.6400000006</v>
      </c>
      <c r="C40" s="10">
        <f>9497181.34-8522902.7-416991</f>
        <v>557287.6400000006</v>
      </c>
      <c r="D40" s="11">
        <v>0</v>
      </c>
      <c r="E40" s="10">
        <v>2038.23</v>
      </c>
      <c r="F40" s="12">
        <f>+E40/C40</f>
        <v>3.657411099230548E-3</v>
      </c>
      <c r="G40" s="10">
        <f>+C40+D40-E40</f>
        <v>555249.41000000061</v>
      </c>
      <c r="H40" s="13">
        <f>362224.72-0.47</f>
        <v>362224.25</v>
      </c>
      <c r="I40" s="14">
        <f>22013.2+172259.48</f>
        <v>194272.68000000002</v>
      </c>
      <c r="J40" s="14">
        <f>-4302.52+5550.04</f>
        <v>1247.5199999999995</v>
      </c>
      <c r="K40" s="14">
        <f>H40+I40-J40</f>
        <v>555249.41</v>
      </c>
      <c r="L40" s="15">
        <f>+F40</f>
        <v>3.657411099230548E-3</v>
      </c>
      <c r="M40" s="155">
        <f t="shared" ref="M40:M49" si="12">+K40-G40</f>
        <v>0</v>
      </c>
      <c r="N40" s="202"/>
      <c r="O40" s="142"/>
      <c r="P40" s="142"/>
    </row>
    <row r="41" spans="1:18" x14ac:dyDescent="0.2">
      <c r="A41" s="139" t="s">
        <v>20</v>
      </c>
      <c r="B41" s="10">
        <v>0</v>
      </c>
      <c r="C41" s="10">
        <f>981063.54-174602.54</f>
        <v>806461</v>
      </c>
      <c r="D41" s="11">
        <v>0</v>
      </c>
      <c r="E41" s="10">
        <v>0</v>
      </c>
      <c r="F41" s="12">
        <f t="shared" ref="F41:F50" si="13">+E41/C41</f>
        <v>0</v>
      </c>
      <c r="G41" s="10">
        <f>+C41+D41-E41</f>
        <v>806461</v>
      </c>
      <c r="H41" s="13">
        <v>1795340.56</v>
      </c>
      <c r="I41" s="14">
        <v>1162</v>
      </c>
      <c r="J41" s="14">
        <f>272555.03+160187.53+557299</f>
        <v>990041.56</v>
      </c>
      <c r="K41" s="14">
        <f t="shared" ref="K41:K66" si="14">H41+I41-J41</f>
        <v>806461</v>
      </c>
      <c r="L41" s="15">
        <f t="shared" ref="L41:L50" si="15">+F41</f>
        <v>0</v>
      </c>
      <c r="M41" s="62">
        <f>+K41-G41</f>
        <v>0</v>
      </c>
      <c r="N41" s="205"/>
    </row>
    <row r="42" spans="1:18" x14ac:dyDescent="0.2">
      <c r="A42" s="139" t="s">
        <v>21</v>
      </c>
      <c r="B42" s="10">
        <f t="shared" ref="B42:B50" si="16">+C42</f>
        <v>465.82999999998719</v>
      </c>
      <c r="C42" s="10">
        <f>266576.99-80893-185218.16</f>
        <v>465.82999999998719</v>
      </c>
      <c r="D42" s="11">
        <v>0</v>
      </c>
      <c r="E42" s="10">
        <v>0</v>
      </c>
      <c r="F42" s="12">
        <f t="shared" si="13"/>
        <v>0</v>
      </c>
      <c r="G42" s="10">
        <f>+C42+D42-E42</f>
        <v>465.82999999998719</v>
      </c>
      <c r="H42" s="13">
        <v>465.83</v>
      </c>
      <c r="I42" s="14">
        <v>0</v>
      </c>
      <c r="J42" s="14">
        <v>0</v>
      </c>
      <c r="K42" s="14">
        <f t="shared" si="14"/>
        <v>465.83</v>
      </c>
      <c r="L42" s="15">
        <f t="shared" si="15"/>
        <v>0</v>
      </c>
      <c r="M42" s="155">
        <f t="shared" si="12"/>
        <v>1.2789769243681803E-11</v>
      </c>
      <c r="N42" s="183"/>
    </row>
    <row r="43" spans="1:18" x14ac:dyDescent="0.2">
      <c r="A43" s="139" t="s">
        <v>22</v>
      </c>
      <c r="B43" s="10">
        <f t="shared" si="16"/>
        <v>6067.4599999999627</v>
      </c>
      <c r="C43" s="10">
        <f>375412.66-201977-167368.2</f>
        <v>6067.4599999999627</v>
      </c>
      <c r="D43" s="10">
        <v>149.51</v>
      </c>
      <c r="E43" s="10">
        <v>0</v>
      </c>
      <c r="F43" s="12">
        <f t="shared" si="13"/>
        <v>0</v>
      </c>
      <c r="G43" s="10">
        <f t="shared" ref="G43:G48" si="17">+C43+D43-E43</f>
        <v>6216.969999999963</v>
      </c>
      <c r="H43" s="13">
        <v>6216.97</v>
      </c>
      <c r="I43" s="14">
        <v>0</v>
      </c>
      <c r="J43" s="14">
        <v>0</v>
      </c>
      <c r="K43" s="14">
        <f t="shared" si="14"/>
        <v>6216.97</v>
      </c>
      <c r="L43" s="15">
        <f t="shared" si="15"/>
        <v>0</v>
      </c>
      <c r="M43" s="62">
        <f t="shared" si="12"/>
        <v>3.7289282772690058E-11</v>
      </c>
      <c r="N43" s="183"/>
    </row>
    <row r="44" spans="1:18" x14ac:dyDescent="0.2">
      <c r="A44" s="139" t="s">
        <v>23</v>
      </c>
      <c r="B44" s="10">
        <f t="shared" si="16"/>
        <v>17016.04999999993</v>
      </c>
      <c r="C44" s="10">
        <f>1302246.39-788192.61-497037.73</f>
        <v>17016.04999999993</v>
      </c>
      <c r="D44" s="10">
        <v>408.58</v>
      </c>
      <c r="E44" s="10">
        <v>0</v>
      </c>
      <c r="F44" s="12">
        <f t="shared" si="13"/>
        <v>0</v>
      </c>
      <c r="G44" s="10">
        <f t="shared" si="17"/>
        <v>17424.629999999932</v>
      </c>
      <c r="H44" s="13">
        <v>17424.63</v>
      </c>
      <c r="I44" s="14">
        <v>0</v>
      </c>
      <c r="J44" s="14">
        <v>0</v>
      </c>
      <c r="K44" s="14">
        <f t="shared" si="14"/>
        <v>17424.63</v>
      </c>
      <c r="L44" s="15">
        <f t="shared" si="15"/>
        <v>0</v>
      </c>
      <c r="M44" s="155">
        <f t="shared" si="12"/>
        <v>6.9121597334742546E-11</v>
      </c>
      <c r="N44" s="183"/>
    </row>
    <row r="45" spans="1:18" x14ac:dyDescent="0.2">
      <c r="A45" s="139" t="s">
        <v>24</v>
      </c>
      <c r="B45" s="10">
        <f t="shared" si="16"/>
        <v>412246.5499999997</v>
      </c>
      <c r="C45" s="10">
        <f>13636634.35-13212786.17-11601.63</f>
        <v>412246.5499999997</v>
      </c>
      <c r="D45" s="11">
        <v>-459</v>
      </c>
      <c r="E45" s="10">
        <v>0</v>
      </c>
      <c r="F45" s="12">
        <f t="shared" si="13"/>
        <v>0</v>
      </c>
      <c r="G45" s="10">
        <f>+C45+D45-E45</f>
        <v>411787.5499999997</v>
      </c>
      <c r="H45" s="13">
        <v>37530.339999999997</v>
      </c>
      <c r="I45" s="14">
        <v>456237</v>
      </c>
      <c r="J45" s="14">
        <f>52394.42+7312.79+22272.58</f>
        <v>81979.790000000008</v>
      </c>
      <c r="K45" s="14">
        <f t="shared" si="14"/>
        <v>411787.54999999993</v>
      </c>
      <c r="L45" s="15">
        <f t="shared" si="15"/>
        <v>0</v>
      </c>
      <c r="M45" s="62">
        <f t="shared" si="12"/>
        <v>0</v>
      </c>
      <c r="N45" s="183"/>
    </row>
    <row r="46" spans="1:18" x14ac:dyDescent="0.2">
      <c r="A46" s="139" t="s">
        <v>25</v>
      </c>
      <c r="B46" s="10">
        <f t="shared" si="16"/>
        <v>5151.3900000000722</v>
      </c>
      <c r="C46" s="10">
        <f>868753.03-542712.97-320888.67</f>
        <v>5151.3900000000722</v>
      </c>
      <c r="D46" s="10">
        <v>131.31</v>
      </c>
      <c r="E46" s="10">
        <v>0</v>
      </c>
      <c r="F46" s="12">
        <f t="shared" si="13"/>
        <v>0</v>
      </c>
      <c r="G46" s="10">
        <f t="shared" si="17"/>
        <v>5282.7000000000726</v>
      </c>
      <c r="H46" s="13">
        <v>5282.7</v>
      </c>
      <c r="I46" s="14">
        <v>0</v>
      </c>
      <c r="J46" s="14">
        <v>0</v>
      </c>
      <c r="K46" s="14">
        <f t="shared" si="14"/>
        <v>5282.7</v>
      </c>
      <c r="L46" s="15">
        <f t="shared" si="15"/>
        <v>0</v>
      </c>
      <c r="M46" s="155">
        <f t="shared" si="12"/>
        <v>-7.2759576141834259E-11</v>
      </c>
      <c r="N46" s="183"/>
    </row>
    <row r="47" spans="1:18" x14ac:dyDescent="0.2">
      <c r="A47" s="139" t="s">
        <v>27</v>
      </c>
      <c r="B47" s="10">
        <f t="shared" si="16"/>
        <v>3767.3699999999953</v>
      </c>
      <c r="C47" s="10">
        <f>573447.69-569680.32</f>
        <v>3767.3699999999953</v>
      </c>
      <c r="D47" s="11">
        <v>0</v>
      </c>
      <c r="E47" s="10">
        <v>0</v>
      </c>
      <c r="F47" s="12">
        <f t="shared" si="13"/>
        <v>0</v>
      </c>
      <c r="G47" s="10">
        <f t="shared" si="17"/>
        <v>3767.3699999999953</v>
      </c>
      <c r="H47" s="13">
        <v>3767.37</v>
      </c>
      <c r="I47" s="14">
        <v>0</v>
      </c>
      <c r="J47" s="14">
        <v>0</v>
      </c>
      <c r="K47" s="14">
        <f t="shared" si="14"/>
        <v>3767.37</v>
      </c>
      <c r="L47" s="15">
        <f t="shared" si="15"/>
        <v>0</v>
      </c>
      <c r="M47" s="62">
        <f t="shared" si="12"/>
        <v>4.5474735088646412E-12</v>
      </c>
      <c r="N47" s="183"/>
    </row>
    <row r="48" spans="1:18" x14ac:dyDescent="0.2">
      <c r="A48" s="139" t="s">
        <v>28</v>
      </c>
      <c r="B48" s="10">
        <f t="shared" si="16"/>
        <v>542.31999999999971</v>
      </c>
      <c r="C48" s="10">
        <f>36484.65-0-35942.33</f>
        <v>542.31999999999971</v>
      </c>
      <c r="D48" s="11">
        <v>0</v>
      </c>
      <c r="E48" s="10">
        <v>0</v>
      </c>
      <c r="F48" s="12">
        <f t="shared" si="13"/>
        <v>0</v>
      </c>
      <c r="G48" s="10">
        <f t="shared" si="17"/>
        <v>542.31999999999971</v>
      </c>
      <c r="H48" s="13">
        <v>542.32000000000005</v>
      </c>
      <c r="I48" s="14">
        <v>0</v>
      </c>
      <c r="J48" s="14">
        <v>0</v>
      </c>
      <c r="K48" s="14">
        <f t="shared" si="14"/>
        <v>542.32000000000005</v>
      </c>
      <c r="L48" s="15">
        <f t="shared" si="15"/>
        <v>0</v>
      </c>
      <c r="M48" s="155">
        <f t="shared" si="12"/>
        <v>0</v>
      </c>
      <c r="N48" s="183"/>
    </row>
    <row r="49" spans="1:16" x14ac:dyDescent="0.2">
      <c r="A49" s="139" t="s">
        <v>29</v>
      </c>
      <c r="B49" s="10">
        <f>+C49</f>
        <v>489577.01999999862</v>
      </c>
      <c r="C49" s="10">
        <f>25804148.7-21535015.98-3779555.7</f>
        <v>489577.01999999862</v>
      </c>
      <c r="D49" s="45"/>
      <c r="E49" s="10">
        <v>0</v>
      </c>
      <c r="F49" s="12">
        <f t="shared" si="13"/>
        <v>0</v>
      </c>
      <c r="G49" s="10">
        <f>+C49+D49-E49</f>
        <v>489577.01999999862</v>
      </c>
      <c r="H49" s="13">
        <f>2255525.44-1688966.46</f>
        <v>566558.98</v>
      </c>
      <c r="I49" s="14">
        <v>122706.07</v>
      </c>
      <c r="J49" s="14">
        <f>20016.25+99956.62+61086.68+18628.48</f>
        <v>199688.03</v>
      </c>
      <c r="K49" s="14">
        <f>H49+I49-J49</f>
        <v>489577.02</v>
      </c>
      <c r="L49" s="15">
        <f t="shared" si="15"/>
        <v>0</v>
      </c>
      <c r="M49" s="62">
        <f t="shared" si="12"/>
        <v>1.3969838619232178E-9</v>
      </c>
      <c r="N49" s="184"/>
    </row>
    <row r="50" spans="1:16" x14ac:dyDescent="0.2">
      <c r="A50" s="139" t="s">
        <v>30</v>
      </c>
      <c r="B50" s="10">
        <f t="shared" si="16"/>
        <v>193749.02000000025</v>
      </c>
      <c r="C50" s="10">
        <f>19272341-17976826.68-1101765.3</f>
        <v>193749.02000000025</v>
      </c>
      <c r="D50" s="10">
        <v>4227.0200000000004</v>
      </c>
      <c r="E50" s="10">
        <v>0</v>
      </c>
      <c r="F50" s="12">
        <f t="shared" si="13"/>
        <v>0</v>
      </c>
      <c r="G50" s="10">
        <f>+C50+D50-E50</f>
        <v>197976.04000000024</v>
      </c>
      <c r="H50" s="13">
        <v>171700.75</v>
      </c>
      <c r="I50" s="14">
        <v>296402</v>
      </c>
      <c r="J50" s="14">
        <f>26299+244312.48</f>
        <v>270611.48</v>
      </c>
      <c r="K50" s="14">
        <f>H50+I50-J50</f>
        <v>197491.27000000002</v>
      </c>
      <c r="L50" s="15">
        <f t="shared" si="15"/>
        <v>0</v>
      </c>
      <c r="M50" s="155">
        <f>+K50-G50</f>
        <v>-484.77000000022235</v>
      </c>
      <c r="N50" s="185"/>
    </row>
    <row r="51" spans="1:16" s="5" customFormat="1" x14ac:dyDescent="0.2">
      <c r="A51" s="20" t="s">
        <v>33</v>
      </c>
      <c r="B51" s="21">
        <f>SUM(B40:B50)</f>
        <v>1685870.649999999</v>
      </c>
      <c r="C51" s="21">
        <f>SUM(C40:C50)</f>
        <v>2492331.6499999994</v>
      </c>
      <c r="D51" s="21">
        <f>SUM(D40:D50)</f>
        <v>4457.42</v>
      </c>
      <c r="E51" s="21">
        <f>SUM(E40:E50)</f>
        <v>2038.23</v>
      </c>
      <c r="F51" s="22">
        <f>+E51/C51</f>
        <v>8.178004721000917E-4</v>
      </c>
      <c r="G51" s="21">
        <f>SUM(G40:G50)</f>
        <v>2494750.8399999989</v>
      </c>
      <c r="H51" s="21">
        <f>SUM(H40:H50)</f>
        <v>2967054.7</v>
      </c>
      <c r="I51" s="21">
        <f>SUM(I40:I50)</f>
        <v>1070779.75</v>
      </c>
      <c r="J51" s="21">
        <f>SUM(J40:J50)</f>
        <v>1543568.3800000001</v>
      </c>
      <c r="K51" s="21">
        <f>SUM(K40:K50)</f>
        <v>2494266.0700000003</v>
      </c>
      <c r="L51" s="23"/>
      <c r="M51" s="62">
        <f t="shared" ref="M51:M67" si="18">+K51-G51</f>
        <v>-484.76999999862164</v>
      </c>
      <c r="N51" s="204"/>
      <c r="O51" s="143"/>
      <c r="P51" s="143"/>
    </row>
    <row r="52" spans="1:16" x14ac:dyDescent="0.2">
      <c r="A52" s="139" t="s">
        <v>34</v>
      </c>
      <c r="B52" s="10">
        <v>0</v>
      </c>
      <c r="C52" s="10">
        <v>256006.06</v>
      </c>
      <c r="D52" s="13">
        <v>440.75</v>
      </c>
      <c r="E52" s="10">
        <v>0</v>
      </c>
      <c r="F52" s="12">
        <v>0</v>
      </c>
      <c r="G52" s="10">
        <f>+C52+D52-E52</f>
        <v>256446.81</v>
      </c>
      <c r="H52" s="10">
        <v>238695.02</v>
      </c>
      <c r="I52" s="10">
        <v>30099.8</v>
      </c>
      <c r="J52" s="10">
        <v>12348.01</v>
      </c>
      <c r="K52" s="10">
        <f t="shared" si="14"/>
        <v>256446.81</v>
      </c>
      <c r="L52" s="15"/>
      <c r="M52" s="62">
        <f t="shared" si="18"/>
        <v>0</v>
      </c>
      <c r="N52" s="183"/>
    </row>
    <row r="53" spans="1:16" x14ac:dyDescent="0.2">
      <c r="A53" s="20" t="s">
        <v>35</v>
      </c>
      <c r="B53" s="25">
        <f t="shared" ref="B53:K53" si="19">SUM(B52:B52)</f>
        <v>0</v>
      </c>
      <c r="C53" s="25">
        <f t="shared" si="19"/>
        <v>256006.06</v>
      </c>
      <c r="D53" s="25">
        <f t="shared" si="19"/>
        <v>440.75</v>
      </c>
      <c r="E53" s="25">
        <f t="shared" si="19"/>
        <v>0</v>
      </c>
      <c r="F53" s="25">
        <f t="shared" si="19"/>
        <v>0</v>
      </c>
      <c r="G53" s="25">
        <f t="shared" si="19"/>
        <v>256446.81</v>
      </c>
      <c r="H53" s="25">
        <f t="shared" si="19"/>
        <v>238695.02</v>
      </c>
      <c r="I53" s="25">
        <f t="shared" si="19"/>
        <v>30099.8</v>
      </c>
      <c r="J53" s="25">
        <f t="shared" si="19"/>
        <v>12348.01</v>
      </c>
      <c r="K53" s="25">
        <f t="shared" si="19"/>
        <v>256446.81</v>
      </c>
      <c r="L53" s="27"/>
      <c r="M53" s="62">
        <f t="shared" si="18"/>
        <v>0</v>
      </c>
      <c r="N53" s="183"/>
    </row>
    <row r="54" spans="1:16" x14ac:dyDescent="0.2">
      <c r="A54" s="139" t="s">
        <v>18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0.47</v>
      </c>
      <c r="H54" s="10">
        <v>0.47</v>
      </c>
      <c r="I54" s="10">
        <v>0</v>
      </c>
      <c r="J54" s="10">
        <v>0</v>
      </c>
      <c r="K54" s="10">
        <f t="shared" si="14"/>
        <v>0.47</v>
      </c>
      <c r="L54" s="15"/>
      <c r="M54" s="62">
        <f t="shared" si="18"/>
        <v>0</v>
      </c>
      <c r="N54" s="183"/>
    </row>
    <row r="55" spans="1:16" x14ac:dyDescent="0.2">
      <c r="A55" s="139" t="s">
        <v>29</v>
      </c>
      <c r="B55" s="10">
        <v>0</v>
      </c>
      <c r="C55" s="10">
        <v>0</v>
      </c>
      <c r="D55" s="10">
        <v>0</v>
      </c>
      <c r="E55" s="10">
        <v>0</v>
      </c>
      <c r="F55" s="12">
        <v>0</v>
      </c>
      <c r="G55" s="10">
        <v>17.399999999999999</v>
      </c>
      <c r="H55" s="10">
        <v>17.399999999999999</v>
      </c>
      <c r="I55" s="10"/>
      <c r="J55" s="10">
        <v>0</v>
      </c>
      <c r="K55" s="10">
        <f t="shared" si="14"/>
        <v>17.399999999999999</v>
      </c>
      <c r="L55" s="15"/>
      <c r="M55" s="62">
        <f t="shared" si="18"/>
        <v>0</v>
      </c>
      <c r="N55" s="183"/>
    </row>
    <row r="56" spans="1:16" x14ac:dyDescent="0.2">
      <c r="A56" s="20" t="s">
        <v>37</v>
      </c>
      <c r="B56" s="25">
        <f t="shared" ref="B56:K56" si="20">SUM(B54:B55)</f>
        <v>0</v>
      </c>
      <c r="C56" s="25">
        <f t="shared" si="20"/>
        <v>0</v>
      </c>
      <c r="D56" s="25">
        <f t="shared" si="20"/>
        <v>0</v>
      </c>
      <c r="E56" s="25">
        <f t="shared" si="20"/>
        <v>0</v>
      </c>
      <c r="F56" s="25">
        <f t="shared" si="20"/>
        <v>0</v>
      </c>
      <c r="G56" s="25">
        <f t="shared" si="20"/>
        <v>17.869999999999997</v>
      </c>
      <c r="H56" s="25">
        <f t="shared" si="20"/>
        <v>17.869999999999997</v>
      </c>
      <c r="I56" s="25">
        <f t="shared" si="20"/>
        <v>0</v>
      </c>
      <c r="J56" s="25">
        <f t="shared" si="20"/>
        <v>0</v>
      </c>
      <c r="K56" s="25">
        <f t="shared" si="20"/>
        <v>17.869999999999997</v>
      </c>
      <c r="L56" s="27"/>
      <c r="M56" s="62">
        <f>+K56-G56</f>
        <v>0</v>
      </c>
      <c r="N56" s="183"/>
    </row>
    <row r="57" spans="1:16" x14ac:dyDescent="0.2">
      <c r="A57" s="139" t="s">
        <v>18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1392</v>
      </c>
      <c r="H57" s="10">
        <v>1392</v>
      </c>
      <c r="I57" s="10">
        <v>0</v>
      </c>
      <c r="J57" s="10">
        <v>0</v>
      </c>
      <c r="K57" s="10">
        <f t="shared" si="14"/>
        <v>1392</v>
      </c>
      <c r="L57" s="15"/>
      <c r="M57" s="62">
        <f t="shared" si="18"/>
        <v>0</v>
      </c>
      <c r="N57" s="183"/>
    </row>
    <row r="58" spans="1:16" x14ac:dyDescent="0.2">
      <c r="A58" s="139" t="s">
        <v>20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382.8</v>
      </c>
      <c r="H58" s="10">
        <v>382.8</v>
      </c>
      <c r="I58" s="10">
        <v>0</v>
      </c>
      <c r="J58" s="10">
        <v>0</v>
      </c>
      <c r="K58" s="10">
        <f t="shared" si="14"/>
        <v>382.8</v>
      </c>
      <c r="L58" s="15"/>
      <c r="M58" s="62">
        <f t="shared" si="18"/>
        <v>0</v>
      </c>
      <c r="N58" s="183"/>
    </row>
    <row r="59" spans="1:16" x14ac:dyDescent="0.2">
      <c r="A59" s="139" t="s">
        <v>29</v>
      </c>
      <c r="B59" s="10">
        <v>0</v>
      </c>
      <c r="C59" s="10">
        <v>0</v>
      </c>
      <c r="D59" s="10"/>
      <c r="E59" s="10">
        <v>0</v>
      </c>
      <c r="F59" s="12">
        <v>0</v>
      </c>
      <c r="G59" s="10">
        <v>242057.67</v>
      </c>
      <c r="H59" s="10">
        <v>242057.67</v>
      </c>
      <c r="I59" s="10">
        <v>0</v>
      </c>
      <c r="J59" s="10">
        <v>0</v>
      </c>
      <c r="K59" s="10">
        <f t="shared" si="14"/>
        <v>242057.67</v>
      </c>
      <c r="L59" s="15"/>
      <c r="M59" s="62">
        <f t="shared" si="18"/>
        <v>0</v>
      </c>
      <c r="N59" s="183"/>
    </row>
    <row r="60" spans="1:16" x14ac:dyDescent="0.2">
      <c r="A60" s="20" t="s">
        <v>38</v>
      </c>
      <c r="B60" s="25">
        <f t="shared" ref="B60:K60" si="21">SUM(B57:B59)</f>
        <v>0</v>
      </c>
      <c r="C60" s="25">
        <f t="shared" si="21"/>
        <v>0</v>
      </c>
      <c r="D60" s="25">
        <f t="shared" si="21"/>
        <v>0</v>
      </c>
      <c r="E60" s="25">
        <f t="shared" si="21"/>
        <v>0</v>
      </c>
      <c r="F60" s="25">
        <f t="shared" si="21"/>
        <v>0</v>
      </c>
      <c r="G60" s="25">
        <f t="shared" si="21"/>
        <v>243832.47</v>
      </c>
      <c r="H60" s="25">
        <f t="shared" si="21"/>
        <v>243832.47</v>
      </c>
      <c r="I60" s="25">
        <f t="shared" si="21"/>
        <v>0</v>
      </c>
      <c r="J60" s="25">
        <f t="shared" si="21"/>
        <v>0</v>
      </c>
      <c r="K60" s="25">
        <f t="shared" si="21"/>
        <v>243832.47</v>
      </c>
      <c r="L60" s="27"/>
      <c r="M60" s="62">
        <f t="shared" si="18"/>
        <v>0</v>
      </c>
      <c r="N60" s="183"/>
    </row>
    <row r="61" spans="1:16" x14ac:dyDescent="0.2">
      <c r="A61" s="139" t="s">
        <v>36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-10</v>
      </c>
      <c r="H61" s="10">
        <v>-10</v>
      </c>
      <c r="I61" s="10">
        <v>0</v>
      </c>
      <c r="J61" s="10">
        <v>0</v>
      </c>
      <c r="K61" s="10">
        <f t="shared" si="14"/>
        <v>-10</v>
      </c>
      <c r="L61" s="15"/>
      <c r="M61" s="62">
        <f t="shared" si="18"/>
        <v>0</v>
      </c>
      <c r="N61" s="183"/>
    </row>
    <row r="62" spans="1:16" x14ac:dyDescent="0.2">
      <c r="A62" s="139" t="s">
        <v>20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219.47</v>
      </c>
      <c r="H62" s="10">
        <v>219.47</v>
      </c>
      <c r="I62" s="10">
        <v>0</v>
      </c>
      <c r="J62" s="10">
        <v>0</v>
      </c>
      <c r="K62" s="10">
        <f t="shared" si="14"/>
        <v>219.47</v>
      </c>
      <c r="L62" s="15"/>
      <c r="M62" s="62">
        <f t="shared" si="18"/>
        <v>0</v>
      </c>
      <c r="N62" s="183"/>
    </row>
    <row r="63" spans="1:16" x14ac:dyDescent="0.2">
      <c r="A63" s="139" t="s">
        <v>24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1150.8900000000001</v>
      </c>
      <c r="H63" s="10">
        <v>42631.81</v>
      </c>
      <c r="I63" s="10">
        <v>412765.08</v>
      </c>
      <c r="J63" s="10">
        <v>454246</v>
      </c>
      <c r="K63" s="10">
        <f t="shared" si="14"/>
        <v>1150.890000000014</v>
      </c>
      <c r="L63" s="15"/>
      <c r="M63" s="62">
        <f t="shared" si="18"/>
        <v>1.3869794202037156E-11</v>
      </c>
      <c r="N63" s="183"/>
    </row>
    <row r="64" spans="1:16" x14ac:dyDescent="0.2">
      <c r="A64" s="139" t="s">
        <v>25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719.87</v>
      </c>
      <c r="H64" s="10">
        <v>719.87</v>
      </c>
      <c r="I64" s="10">
        <v>0</v>
      </c>
      <c r="J64" s="10">
        <v>0</v>
      </c>
      <c r="K64" s="10">
        <f t="shared" si="14"/>
        <v>719.87</v>
      </c>
      <c r="L64" s="15"/>
      <c r="M64" s="62">
        <f t="shared" si="18"/>
        <v>0</v>
      </c>
      <c r="N64" s="183"/>
    </row>
    <row r="65" spans="1:14" x14ac:dyDescent="0.2">
      <c r="A65" s="139" t="s">
        <v>27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267528.84000000003</v>
      </c>
      <c r="H65" s="10">
        <v>0</v>
      </c>
      <c r="I65" s="10">
        <v>267528.84000000003</v>
      </c>
      <c r="J65" s="10">
        <v>0</v>
      </c>
      <c r="K65" s="10">
        <f t="shared" si="14"/>
        <v>267528.84000000003</v>
      </c>
      <c r="L65" s="15"/>
      <c r="M65" s="62">
        <f t="shared" si="18"/>
        <v>0</v>
      </c>
      <c r="N65" s="183"/>
    </row>
    <row r="66" spans="1:14" x14ac:dyDescent="0.2">
      <c r="A66" s="139" t="s">
        <v>29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236767.4</v>
      </c>
      <c r="H66" s="10">
        <v>243581.68</v>
      </c>
      <c r="I66" s="10">
        <v>0</v>
      </c>
      <c r="J66" s="10">
        <f>2827.74+3986.54</f>
        <v>6814.28</v>
      </c>
      <c r="K66" s="10">
        <f t="shared" si="14"/>
        <v>236767.4</v>
      </c>
      <c r="L66" s="15"/>
      <c r="M66" s="62">
        <f t="shared" si="18"/>
        <v>0</v>
      </c>
      <c r="N66" s="183"/>
    </row>
    <row r="67" spans="1:14" x14ac:dyDescent="0.2">
      <c r="A67" s="20" t="s">
        <v>39</v>
      </c>
      <c r="B67" s="25">
        <f t="shared" ref="B67:K67" si="22">SUM(B61:B66)</f>
        <v>0</v>
      </c>
      <c r="C67" s="25">
        <f t="shared" si="22"/>
        <v>0</v>
      </c>
      <c r="D67" s="25">
        <f t="shared" si="22"/>
        <v>0</v>
      </c>
      <c r="E67" s="25">
        <f t="shared" si="22"/>
        <v>0</v>
      </c>
      <c r="F67" s="25">
        <f t="shared" si="22"/>
        <v>0</v>
      </c>
      <c r="G67" s="25">
        <f t="shared" si="22"/>
        <v>506376.47</v>
      </c>
      <c r="H67" s="25">
        <f t="shared" si="22"/>
        <v>287142.83</v>
      </c>
      <c r="I67" s="25">
        <f t="shared" si="22"/>
        <v>680293.92</v>
      </c>
      <c r="J67" s="25">
        <f t="shared" si="22"/>
        <v>461060.28</v>
      </c>
      <c r="K67" s="25">
        <f t="shared" si="22"/>
        <v>506376.47000000009</v>
      </c>
      <c r="L67" s="27"/>
      <c r="M67" s="62">
        <f t="shared" si="18"/>
        <v>0</v>
      </c>
      <c r="N67" s="183"/>
    </row>
    <row r="68" spans="1:14" x14ac:dyDescent="0.25">
      <c r="A68" s="20" t="s">
        <v>44</v>
      </c>
      <c r="B68" s="25">
        <f t="shared" ref="B68:K68" si="23">+B39+B51+B53+B56+B60+B67</f>
        <v>104936112.92999999</v>
      </c>
      <c r="C68" s="25">
        <f t="shared" si="23"/>
        <v>5165475.4700000016</v>
      </c>
      <c r="D68" s="25">
        <f t="shared" si="23"/>
        <v>191349.32</v>
      </c>
      <c r="E68" s="25">
        <f t="shared" si="23"/>
        <v>1511681.33</v>
      </c>
      <c r="F68" s="25">
        <f t="shared" si="23"/>
        <v>5.2672924140970103</v>
      </c>
      <c r="G68" s="25">
        <f t="shared" si="23"/>
        <v>4595370.2700000014</v>
      </c>
      <c r="H68" s="25">
        <f t="shared" si="23"/>
        <v>6297865.4399999995</v>
      </c>
      <c r="I68" s="25">
        <f t="shared" si="23"/>
        <v>2937683.26</v>
      </c>
      <c r="J68" s="25">
        <f t="shared" si="23"/>
        <v>4640663.2</v>
      </c>
      <c r="K68" s="25">
        <f t="shared" si="23"/>
        <v>4594885.5</v>
      </c>
      <c r="L68" s="27"/>
      <c r="N68" s="186"/>
    </row>
    <row r="69" spans="1:14" x14ac:dyDescent="0.25">
      <c r="A69" s="28"/>
      <c r="B69" s="29"/>
      <c r="C69" s="29"/>
      <c r="D69" s="29"/>
      <c r="E69" s="28"/>
      <c r="F69" s="28"/>
      <c r="G69" s="28"/>
      <c r="H69" s="28"/>
      <c r="I69" s="28"/>
      <c r="J69" s="28"/>
      <c r="K69" s="28"/>
      <c r="L69" s="30"/>
      <c r="N69" s="186"/>
    </row>
    <row r="70" spans="1:14" x14ac:dyDescent="0.25">
      <c r="A70" s="140"/>
      <c r="B70" s="19"/>
      <c r="C70" s="333" t="s">
        <v>45</v>
      </c>
      <c r="D70" s="333"/>
      <c r="E70" s="333"/>
      <c r="F70" s="333"/>
      <c r="G70" s="333"/>
      <c r="H70" s="333"/>
      <c r="I70" s="333"/>
      <c r="J70" s="19"/>
      <c r="K70" s="19"/>
      <c r="L70" s="19"/>
      <c r="N70" s="186"/>
    </row>
    <row r="71" spans="1:14" x14ac:dyDescent="0.25">
      <c r="A71" s="140"/>
      <c r="B71" s="19"/>
      <c r="C71" s="221"/>
      <c r="D71" s="221"/>
      <c r="E71" s="221"/>
      <c r="F71" s="221"/>
      <c r="G71" s="221"/>
      <c r="H71" s="221"/>
      <c r="I71" s="221"/>
      <c r="J71" s="19"/>
      <c r="K71" s="19"/>
      <c r="L71" s="19"/>
      <c r="N71" s="186"/>
    </row>
    <row r="72" spans="1:14" x14ac:dyDescent="0.25">
      <c r="A72" s="140"/>
      <c r="B72" s="325" t="s">
        <v>46</v>
      </c>
      <c r="C72" s="325"/>
      <c r="D72" s="326" t="s">
        <v>47</v>
      </c>
      <c r="E72" s="327"/>
      <c r="F72" s="328"/>
      <c r="G72" s="320" t="s">
        <v>48</v>
      </c>
      <c r="H72" s="320"/>
      <c r="I72" s="219" t="s">
        <v>10</v>
      </c>
      <c r="J72" s="19"/>
      <c r="K72" s="19"/>
      <c r="L72" s="19"/>
      <c r="N72" s="186"/>
    </row>
    <row r="73" spans="1:14" x14ac:dyDescent="0.25">
      <c r="A73" s="140"/>
      <c r="B73" s="329" t="s">
        <v>49</v>
      </c>
      <c r="C73" s="329"/>
      <c r="D73" s="330">
        <v>9000000</v>
      </c>
      <c r="E73" s="331"/>
      <c r="F73" s="332">
        <v>0</v>
      </c>
      <c r="G73" s="330">
        <v>4747791.18</v>
      </c>
      <c r="H73" s="332"/>
      <c r="I73" s="33">
        <f>G73/D73</f>
        <v>0.52753235333333326</v>
      </c>
      <c r="J73" s="19"/>
      <c r="K73" s="19"/>
      <c r="L73" s="19"/>
      <c r="N73" s="186"/>
    </row>
    <row r="74" spans="1:14" x14ac:dyDescent="0.25">
      <c r="A74" s="140"/>
      <c r="B74" s="320"/>
      <c r="C74" s="320"/>
      <c r="D74" s="321"/>
      <c r="E74" s="322"/>
      <c r="F74" s="323"/>
      <c r="G74" s="324"/>
      <c r="H74" s="324"/>
      <c r="I74" s="220"/>
      <c r="J74" s="19"/>
      <c r="K74" s="19"/>
      <c r="L74" s="19"/>
      <c r="N74" s="186"/>
    </row>
    <row r="75" spans="1:14" x14ac:dyDescent="0.25">
      <c r="A75" s="140"/>
      <c r="B75" s="320"/>
      <c r="C75" s="320"/>
      <c r="D75" s="321"/>
      <c r="E75" s="322"/>
      <c r="F75" s="323"/>
      <c r="G75" s="324"/>
      <c r="H75" s="324"/>
      <c r="I75" s="220"/>
      <c r="J75" s="19"/>
      <c r="K75" s="19"/>
      <c r="L75" s="19"/>
      <c r="N75" s="186"/>
    </row>
    <row r="76" spans="1:14" x14ac:dyDescent="0.25">
      <c r="A76" s="140"/>
      <c r="B76" s="320"/>
      <c r="C76" s="320"/>
      <c r="D76" s="321"/>
      <c r="E76" s="322"/>
      <c r="F76" s="323"/>
      <c r="G76" s="324"/>
      <c r="H76" s="324"/>
      <c r="I76" s="220"/>
      <c r="J76" s="19"/>
      <c r="K76" s="19"/>
      <c r="L76" s="19"/>
      <c r="N76" s="186"/>
    </row>
    <row r="77" spans="1:14" x14ac:dyDescent="0.25">
      <c r="A77" s="35" t="s">
        <v>50</v>
      </c>
      <c r="B77" s="36"/>
      <c r="C77" s="36"/>
      <c r="D77" s="36"/>
      <c r="E77" s="36"/>
      <c r="F77" s="36"/>
      <c r="G77" s="37"/>
      <c r="H77" s="37"/>
      <c r="I77" s="38"/>
      <c r="J77" s="19"/>
      <c r="K77" s="19"/>
      <c r="L77" s="19"/>
      <c r="N77" s="186"/>
    </row>
    <row r="78" spans="1:14" x14ac:dyDescent="0.25">
      <c r="N78" s="186"/>
    </row>
    <row r="79" spans="1:14" x14ac:dyDescent="0.25">
      <c r="N79" s="186"/>
    </row>
    <row r="80" spans="1:14" x14ac:dyDescent="0.25">
      <c r="C80" s="342" t="s">
        <v>125</v>
      </c>
      <c r="D80" s="342"/>
      <c r="I80" s="342" t="s">
        <v>128</v>
      </c>
      <c r="J80" s="342"/>
      <c r="N80" s="186"/>
    </row>
    <row r="81" spans="3:14" x14ac:dyDescent="0.25">
      <c r="N81" s="186"/>
    </row>
    <row r="82" spans="3:14" x14ac:dyDescent="0.25">
      <c r="N82" s="186"/>
    </row>
    <row r="83" spans="3:14" x14ac:dyDescent="0.25">
      <c r="C83" s="342" t="s">
        <v>126</v>
      </c>
      <c r="D83" s="342"/>
      <c r="I83" s="342" t="s">
        <v>129</v>
      </c>
      <c r="J83" s="342"/>
      <c r="N83" s="186"/>
    </row>
    <row r="84" spans="3:14" x14ac:dyDescent="0.25">
      <c r="C84" s="342" t="s">
        <v>127</v>
      </c>
      <c r="D84" s="342"/>
      <c r="I84" s="342" t="s">
        <v>130</v>
      </c>
      <c r="J84" s="342"/>
      <c r="N84" s="186"/>
    </row>
    <row r="85" spans="3:14" x14ac:dyDescent="0.25">
      <c r="N85" s="186"/>
    </row>
    <row r="86" spans="3:14" x14ac:dyDescent="0.25">
      <c r="N86" s="186"/>
    </row>
    <row r="87" spans="3:14" x14ac:dyDescent="0.25">
      <c r="N87" s="186"/>
    </row>
    <row r="88" spans="3:14" x14ac:dyDescent="0.25">
      <c r="N88" s="186"/>
    </row>
    <row r="89" spans="3:14" x14ac:dyDescent="0.25">
      <c r="N89" s="186"/>
    </row>
    <row r="90" spans="3:14" x14ac:dyDescent="0.25">
      <c r="N90" s="186"/>
    </row>
    <row r="91" spans="3:14" x14ac:dyDescent="0.25">
      <c r="N91" s="186"/>
    </row>
    <row r="92" spans="3:14" x14ac:dyDescent="0.25">
      <c r="N92" s="186"/>
    </row>
    <row r="93" spans="3:14" x14ac:dyDescent="0.25">
      <c r="N93" s="186"/>
    </row>
    <row r="94" spans="3:14" x14ac:dyDescent="0.25">
      <c r="N94" s="186"/>
    </row>
    <row r="95" spans="3:14" x14ac:dyDescent="0.25">
      <c r="N95" s="186"/>
    </row>
    <row r="96" spans="3:14" x14ac:dyDescent="0.25">
      <c r="N96" s="186"/>
    </row>
    <row r="97" spans="14:14" x14ac:dyDescent="0.25">
      <c r="N97" s="186"/>
    </row>
    <row r="98" spans="14:14" x14ac:dyDescent="0.25">
      <c r="N98" s="186"/>
    </row>
    <row r="99" spans="14:14" x14ac:dyDescent="0.25">
      <c r="N99" s="186"/>
    </row>
    <row r="100" spans="14:14" x14ac:dyDescent="0.25">
      <c r="N100" s="186"/>
    </row>
    <row r="101" spans="14:14" x14ac:dyDescent="0.25">
      <c r="N101" s="186"/>
    </row>
    <row r="102" spans="14:14" x14ac:dyDescent="0.25">
      <c r="N102" s="186"/>
    </row>
    <row r="103" spans="14:14" x14ac:dyDescent="0.25">
      <c r="N103" s="186"/>
    </row>
    <row r="104" spans="14:14" x14ac:dyDescent="0.25">
      <c r="N104" s="186"/>
    </row>
    <row r="105" spans="14:14" x14ac:dyDescent="0.25">
      <c r="N105" s="186"/>
    </row>
    <row r="106" spans="14:14" x14ac:dyDescent="0.25">
      <c r="N106" s="186"/>
    </row>
    <row r="107" spans="14:14" x14ac:dyDescent="0.25">
      <c r="N107" s="186"/>
    </row>
    <row r="108" spans="14:14" x14ac:dyDescent="0.25">
      <c r="N108" s="186"/>
    </row>
    <row r="109" spans="14:14" x14ac:dyDescent="0.25">
      <c r="N109" s="186"/>
    </row>
    <row r="110" spans="14:14" x14ac:dyDescent="0.25">
      <c r="N110" s="186"/>
    </row>
    <row r="111" spans="14:14" x14ac:dyDescent="0.25">
      <c r="N111" s="186"/>
    </row>
    <row r="112" spans="14:14" x14ac:dyDescent="0.25">
      <c r="N112" s="186"/>
    </row>
    <row r="113" spans="14:14" x14ac:dyDescent="0.25">
      <c r="N113" s="186"/>
    </row>
    <row r="114" spans="14:14" x14ac:dyDescent="0.25">
      <c r="N114" s="186"/>
    </row>
    <row r="115" spans="14:14" x14ac:dyDescent="0.25">
      <c r="N115" s="186"/>
    </row>
    <row r="116" spans="14:14" x14ac:dyDescent="0.25">
      <c r="N116" s="186"/>
    </row>
    <row r="117" spans="14:14" x14ac:dyDescent="0.25">
      <c r="N117" s="186"/>
    </row>
    <row r="118" spans="14:14" x14ac:dyDescent="0.25">
      <c r="N118" s="186"/>
    </row>
    <row r="119" spans="14:14" x14ac:dyDescent="0.25">
      <c r="N119" s="186"/>
    </row>
    <row r="120" spans="14:14" x14ac:dyDescent="0.25">
      <c r="N120" s="186"/>
    </row>
    <row r="121" spans="14:14" x14ac:dyDescent="0.25">
      <c r="N121" s="186"/>
    </row>
    <row r="122" spans="14:14" x14ac:dyDescent="0.25">
      <c r="N122" s="186"/>
    </row>
    <row r="123" spans="14:14" x14ac:dyDescent="0.25">
      <c r="N123" s="186"/>
    </row>
    <row r="124" spans="14:14" x14ac:dyDescent="0.25">
      <c r="N124" s="186"/>
    </row>
    <row r="125" spans="14:14" x14ac:dyDescent="0.25">
      <c r="N125" s="186"/>
    </row>
    <row r="126" spans="14:14" x14ac:dyDescent="0.25">
      <c r="N126" s="186"/>
    </row>
    <row r="127" spans="14:14" x14ac:dyDescent="0.25">
      <c r="N127" s="186"/>
    </row>
    <row r="128" spans="14:14" x14ac:dyDescent="0.25">
      <c r="N128" s="186"/>
    </row>
    <row r="129" spans="14:14" x14ac:dyDescent="0.25">
      <c r="N129" s="186"/>
    </row>
    <row r="130" spans="14:14" x14ac:dyDescent="0.25">
      <c r="N130" s="186"/>
    </row>
    <row r="131" spans="14:14" x14ac:dyDescent="0.25">
      <c r="N131" s="186"/>
    </row>
    <row r="132" spans="14:14" x14ac:dyDescent="0.25">
      <c r="N132" s="186"/>
    </row>
    <row r="133" spans="14:14" x14ac:dyDescent="0.25">
      <c r="N133" s="186"/>
    </row>
    <row r="134" spans="14:14" x14ac:dyDescent="0.25">
      <c r="N134" s="186"/>
    </row>
    <row r="135" spans="14:14" x14ac:dyDescent="0.25">
      <c r="N135" s="186"/>
    </row>
    <row r="136" spans="14:14" x14ac:dyDescent="0.25">
      <c r="N136" s="186"/>
    </row>
    <row r="137" spans="14:14" x14ac:dyDescent="0.25">
      <c r="N137" s="186"/>
    </row>
    <row r="138" spans="14:14" x14ac:dyDescent="0.25">
      <c r="N138" s="186"/>
    </row>
    <row r="139" spans="14:14" x14ac:dyDescent="0.25">
      <c r="N139" s="186"/>
    </row>
    <row r="140" spans="14:14" x14ac:dyDescent="0.25">
      <c r="N140" s="186"/>
    </row>
    <row r="141" spans="14:14" x14ac:dyDescent="0.25">
      <c r="N141" s="186"/>
    </row>
    <row r="142" spans="14:14" x14ac:dyDescent="0.25">
      <c r="N142" s="186"/>
    </row>
    <row r="143" spans="14:14" x14ac:dyDescent="0.25">
      <c r="N143" s="186"/>
    </row>
    <row r="144" spans="14:14" x14ac:dyDescent="0.25">
      <c r="N144" s="186"/>
    </row>
    <row r="145" spans="14:14" x14ac:dyDescent="0.25">
      <c r="N145" s="186"/>
    </row>
    <row r="146" spans="14:14" x14ac:dyDescent="0.25">
      <c r="N146" s="186"/>
    </row>
    <row r="147" spans="14:14" x14ac:dyDescent="0.25">
      <c r="N147" s="186"/>
    </row>
    <row r="148" spans="14:14" x14ac:dyDescent="0.25">
      <c r="N148" s="186"/>
    </row>
    <row r="149" spans="14:14" x14ac:dyDescent="0.25">
      <c r="N149" s="186"/>
    </row>
    <row r="150" spans="14:14" x14ac:dyDescent="0.25">
      <c r="N150" s="186"/>
    </row>
    <row r="151" spans="14:14" x14ac:dyDescent="0.25">
      <c r="N151" s="186"/>
    </row>
    <row r="152" spans="14:14" x14ac:dyDescent="0.25">
      <c r="N152" s="186"/>
    </row>
    <row r="153" spans="14:14" x14ac:dyDescent="0.25">
      <c r="N153" s="186"/>
    </row>
    <row r="154" spans="14:14" x14ac:dyDescent="0.25">
      <c r="N154" s="186"/>
    </row>
    <row r="155" spans="14:14" x14ac:dyDescent="0.25">
      <c r="N155" s="186"/>
    </row>
    <row r="156" spans="14:14" x14ac:dyDescent="0.25">
      <c r="N156" s="186"/>
    </row>
    <row r="157" spans="14:14" x14ac:dyDescent="0.25">
      <c r="N157" s="186"/>
    </row>
    <row r="158" spans="14:14" x14ac:dyDescent="0.25">
      <c r="N158" s="186"/>
    </row>
    <row r="159" spans="14:14" x14ac:dyDescent="0.25">
      <c r="N159" s="186"/>
    </row>
    <row r="160" spans="14:14" x14ac:dyDescent="0.25">
      <c r="N160" s="186"/>
    </row>
    <row r="161" spans="14:14" x14ac:dyDescent="0.25">
      <c r="N161" s="186"/>
    </row>
    <row r="162" spans="14:14" x14ac:dyDescent="0.25">
      <c r="N162" s="186"/>
    </row>
    <row r="163" spans="14:14" x14ac:dyDescent="0.25">
      <c r="N163" s="186"/>
    </row>
    <row r="164" spans="14:14" x14ac:dyDescent="0.25">
      <c r="N164" s="186"/>
    </row>
    <row r="165" spans="14:14" x14ac:dyDescent="0.25">
      <c r="N165" s="186"/>
    </row>
    <row r="166" spans="14:14" x14ac:dyDescent="0.25">
      <c r="N166" s="186"/>
    </row>
    <row r="167" spans="14:14" x14ac:dyDescent="0.25">
      <c r="N167" s="186"/>
    </row>
    <row r="168" spans="14:14" x14ac:dyDescent="0.25">
      <c r="N168" s="186"/>
    </row>
    <row r="169" spans="14:14" x14ac:dyDescent="0.25">
      <c r="N169" s="186"/>
    </row>
    <row r="170" spans="14:14" x14ac:dyDescent="0.25">
      <c r="N170" s="186"/>
    </row>
    <row r="171" spans="14:14" x14ac:dyDescent="0.25">
      <c r="N171" s="186"/>
    </row>
    <row r="172" spans="14:14" x14ac:dyDescent="0.25">
      <c r="N172" s="186"/>
    </row>
    <row r="173" spans="14:14" x14ac:dyDescent="0.25">
      <c r="N173" s="186"/>
    </row>
    <row r="174" spans="14:14" x14ac:dyDescent="0.25">
      <c r="N174" s="186"/>
    </row>
    <row r="175" spans="14:14" x14ac:dyDescent="0.25">
      <c r="N175" s="186"/>
    </row>
    <row r="176" spans="14:14" x14ac:dyDescent="0.25">
      <c r="N176" s="186"/>
    </row>
    <row r="177" spans="14:14" x14ac:dyDescent="0.25">
      <c r="N177" s="186"/>
    </row>
    <row r="178" spans="14:14" x14ac:dyDescent="0.25">
      <c r="N178" s="186"/>
    </row>
    <row r="179" spans="14:14" x14ac:dyDescent="0.25">
      <c r="N179" s="186"/>
    </row>
    <row r="180" spans="14:14" x14ac:dyDescent="0.25">
      <c r="N180" s="186"/>
    </row>
    <row r="181" spans="14:14" x14ac:dyDescent="0.25">
      <c r="N181" s="186"/>
    </row>
    <row r="182" spans="14:14" x14ac:dyDescent="0.25">
      <c r="N182" s="186"/>
    </row>
    <row r="183" spans="14:14" x14ac:dyDescent="0.25">
      <c r="N183" s="186"/>
    </row>
    <row r="184" spans="14:14" x14ac:dyDescent="0.25">
      <c r="N184" s="186"/>
    </row>
    <row r="185" spans="14:14" x14ac:dyDescent="0.25">
      <c r="N185" s="186"/>
    </row>
    <row r="186" spans="14:14" x14ac:dyDescent="0.25">
      <c r="N186" s="186"/>
    </row>
    <row r="187" spans="14:14" x14ac:dyDescent="0.25">
      <c r="N187" s="186"/>
    </row>
    <row r="188" spans="14:14" x14ac:dyDescent="0.25">
      <c r="N188" s="186"/>
    </row>
    <row r="189" spans="14:14" x14ac:dyDescent="0.25">
      <c r="N189" s="186"/>
    </row>
    <row r="190" spans="14:14" x14ac:dyDescent="0.25">
      <c r="N190" s="186"/>
    </row>
    <row r="191" spans="14:14" x14ac:dyDescent="0.25">
      <c r="N191" s="186"/>
    </row>
    <row r="192" spans="14:14" x14ac:dyDescent="0.25">
      <c r="N192" s="186"/>
    </row>
    <row r="193" spans="14:14" x14ac:dyDescent="0.25">
      <c r="N193" s="186"/>
    </row>
    <row r="194" spans="14:14" x14ac:dyDescent="0.25">
      <c r="N194" s="186"/>
    </row>
    <row r="195" spans="14:14" x14ac:dyDescent="0.25">
      <c r="N195" s="186"/>
    </row>
    <row r="196" spans="14:14" x14ac:dyDescent="0.25">
      <c r="N196" s="186"/>
    </row>
    <row r="197" spans="14:14" x14ac:dyDescent="0.25">
      <c r="N197" s="186"/>
    </row>
    <row r="198" spans="14:14" x14ac:dyDescent="0.25">
      <c r="N198" s="186"/>
    </row>
    <row r="199" spans="14:14" x14ac:dyDescent="0.25">
      <c r="N199" s="186"/>
    </row>
    <row r="200" spans="14:14" x14ac:dyDescent="0.25">
      <c r="N200" s="186"/>
    </row>
    <row r="201" spans="14:14" x14ac:dyDescent="0.25">
      <c r="N201" s="186"/>
    </row>
    <row r="202" spans="14:14" x14ac:dyDescent="0.25">
      <c r="N202" s="186"/>
    </row>
    <row r="203" spans="14:14" x14ac:dyDescent="0.25">
      <c r="N203" s="186"/>
    </row>
    <row r="204" spans="14:14" x14ac:dyDescent="0.25">
      <c r="N204" s="186"/>
    </row>
    <row r="205" spans="14:14" x14ac:dyDescent="0.25">
      <c r="N205" s="186"/>
    </row>
    <row r="206" spans="14:14" x14ac:dyDescent="0.25">
      <c r="N206" s="186"/>
    </row>
    <row r="207" spans="14:14" x14ac:dyDescent="0.25">
      <c r="N207" s="186"/>
    </row>
    <row r="208" spans="14:14" x14ac:dyDescent="0.25">
      <c r="N208" s="186"/>
    </row>
    <row r="209" spans="14:14" x14ac:dyDescent="0.25">
      <c r="N209" s="186"/>
    </row>
    <row r="210" spans="14:14" x14ac:dyDescent="0.25">
      <c r="N210" s="186"/>
    </row>
    <row r="211" spans="14:14" x14ac:dyDescent="0.25">
      <c r="N211" s="186"/>
    </row>
    <row r="212" spans="14:14" x14ac:dyDescent="0.25">
      <c r="N212" s="186"/>
    </row>
    <row r="213" spans="14:14" x14ac:dyDescent="0.25">
      <c r="N213" s="186"/>
    </row>
    <row r="214" spans="14:14" x14ac:dyDescent="0.25">
      <c r="N214" s="186"/>
    </row>
    <row r="215" spans="14:14" x14ac:dyDescent="0.25">
      <c r="N215" s="186"/>
    </row>
    <row r="216" spans="14:14" x14ac:dyDescent="0.25">
      <c r="N216" s="186"/>
    </row>
    <row r="217" spans="14:14" x14ac:dyDescent="0.25">
      <c r="N217" s="186"/>
    </row>
    <row r="218" spans="14:14" x14ac:dyDescent="0.25">
      <c r="N218" s="186"/>
    </row>
    <row r="219" spans="14:14" x14ac:dyDescent="0.25">
      <c r="N219" s="186"/>
    </row>
    <row r="220" spans="14:14" x14ac:dyDescent="0.25">
      <c r="N220" s="186"/>
    </row>
    <row r="221" spans="14:14" x14ac:dyDescent="0.25">
      <c r="N221" s="186"/>
    </row>
    <row r="222" spans="14:14" x14ac:dyDescent="0.25">
      <c r="N222" s="186"/>
    </row>
    <row r="223" spans="14:14" x14ac:dyDescent="0.25">
      <c r="N223" s="186"/>
    </row>
    <row r="224" spans="14:14" x14ac:dyDescent="0.25">
      <c r="N224" s="186"/>
    </row>
    <row r="225" spans="14:14" x14ac:dyDescent="0.25">
      <c r="N225" s="186"/>
    </row>
    <row r="226" spans="14:14" x14ac:dyDescent="0.25">
      <c r="N226" s="186"/>
    </row>
    <row r="227" spans="14:14" x14ac:dyDescent="0.25">
      <c r="N227" s="186"/>
    </row>
    <row r="228" spans="14:14" x14ac:dyDescent="0.25">
      <c r="N228" s="186"/>
    </row>
    <row r="229" spans="14:14" x14ac:dyDescent="0.25">
      <c r="N229" s="186"/>
    </row>
    <row r="230" spans="14:14" x14ac:dyDescent="0.25">
      <c r="N230" s="186"/>
    </row>
    <row r="231" spans="14:14" x14ac:dyDescent="0.25">
      <c r="N231" s="186"/>
    </row>
    <row r="232" spans="14:14" x14ac:dyDescent="0.25">
      <c r="N232" s="186"/>
    </row>
    <row r="233" spans="14:14" x14ac:dyDescent="0.25">
      <c r="N233" s="186"/>
    </row>
    <row r="234" spans="14:14" x14ac:dyDescent="0.25">
      <c r="N234" s="186"/>
    </row>
    <row r="235" spans="14:14" x14ac:dyDescent="0.25">
      <c r="N235" s="186"/>
    </row>
    <row r="236" spans="14:14" x14ac:dyDescent="0.25">
      <c r="N236" s="186"/>
    </row>
    <row r="237" spans="14:14" x14ac:dyDescent="0.25">
      <c r="N237" s="186"/>
    </row>
    <row r="238" spans="14:14" x14ac:dyDescent="0.25">
      <c r="N238" s="186"/>
    </row>
    <row r="239" spans="14:14" x14ac:dyDescent="0.25">
      <c r="N239" s="186"/>
    </row>
    <row r="240" spans="14:14" x14ac:dyDescent="0.25">
      <c r="N240" s="186"/>
    </row>
    <row r="241" spans="14:14" x14ac:dyDescent="0.25">
      <c r="N241" s="186"/>
    </row>
    <row r="242" spans="14:14" x14ac:dyDescent="0.25">
      <c r="N242" s="186"/>
    </row>
    <row r="243" spans="14:14" x14ac:dyDescent="0.25">
      <c r="N243" s="186"/>
    </row>
    <row r="244" spans="14:14" x14ac:dyDescent="0.25">
      <c r="N244" s="186"/>
    </row>
    <row r="245" spans="14:14" x14ac:dyDescent="0.25">
      <c r="N245" s="186"/>
    </row>
    <row r="246" spans="14:14" x14ac:dyDescent="0.25">
      <c r="N246" s="186"/>
    </row>
    <row r="247" spans="14:14" x14ac:dyDescent="0.25">
      <c r="N247" s="186"/>
    </row>
    <row r="248" spans="14:14" x14ac:dyDescent="0.25">
      <c r="N248" s="186"/>
    </row>
    <row r="249" spans="14:14" x14ac:dyDescent="0.25">
      <c r="N249" s="186"/>
    </row>
    <row r="250" spans="14:14" x14ac:dyDescent="0.25">
      <c r="N250" s="186"/>
    </row>
    <row r="251" spans="14:14" x14ac:dyDescent="0.25">
      <c r="N251" s="186"/>
    </row>
    <row r="252" spans="14:14" x14ac:dyDescent="0.25">
      <c r="N252" s="186"/>
    </row>
    <row r="253" spans="14:14" x14ac:dyDescent="0.25">
      <c r="N253" s="186"/>
    </row>
    <row r="254" spans="14:14" x14ac:dyDescent="0.25">
      <c r="N254" s="186"/>
    </row>
    <row r="255" spans="14:14" x14ac:dyDescent="0.25">
      <c r="N255" s="186"/>
    </row>
    <row r="256" spans="14:14" x14ac:dyDescent="0.25">
      <c r="N256" s="186"/>
    </row>
    <row r="257" spans="14:14" x14ac:dyDescent="0.25">
      <c r="N257" s="186"/>
    </row>
    <row r="258" spans="14:14" x14ac:dyDescent="0.25">
      <c r="N258" s="186"/>
    </row>
    <row r="259" spans="14:14" x14ac:dyDescent="0.25">
      <c r="N259" s="186"/>
    </row>
    <row r="260" spans="14:14" x14ac:dyDescent="0.25">
      <c r="N260" s="186"/>
    </row>
    <row r="261" spans="14:14" x14ac:dyDescent="0.25">
      <c r="N261" s="186"/>
    </row>
    <row r="262" spans="14:14" x14ac:dyDescent="0.25">
      <c r="N262" s="186"/>
    </row>
    <row r="263" spans="14:14" x14ac:dyDescent="0.25">
      <c r="N263" s="186"/>
    </row>
    <row r="264" spans="14:14" x14ac:dyDescent="0.25">
      <c r="N264" s="186"/>
    </row>
    <row r="265" spans="14:14" x14ac:dyDescent="0.25">
      <c r="N265" s="186"/>
    </row>
    <row r="266" spans="14:14" x14ac:dyDescent="0.25">
      <c r="N266" s="186"/>
    </row>
    <row r="267" spans="14:14" x14ac:dyDescent="0.25">
      <c r="N267" s="186"/>
    </row>
    <row r="268" spans="14:14" x14ac:dyDescent="0.25">
      <c r="N268" s="186"/>
    </row>
    <row r="269" spans="14:14" x14ac:dyDescent="0.25">
      <c r="N269" s="186"/>
    </row>
    <row r="270" spans="14:14" x14ac:dyDescent="0.25">
      <c r="N270" s="186"/>
    </row>
    <row r="271" spans="14:14" x14ac:dyDescent="0.25">
      <c r="N271" s="186"/>
    </row>
    <row r="272" spans="14:14" x14ac:dyDescent="0.25">
      <c r="N272" s="186"/>
    </row>
    <row r="273" spans="14:14" x14ac:dyDescent="0.25">
      <c r="N273" s="186"/>
    </row>
    <row r="274" spans="14:14" x14ac:dyDescent="0.25">
      <c r="N274" s="186"/>
    </row>
    <row r="275" spans="14:14" x14ac:dyDescent="0.25">
      <c r="N275" s="186"/>
    </row>
    <row r="276" spans="14:14" x14ac:dyDescent="0.25">
      <c r="N276" s="186"/>
    </row>
    <row r="277" spans="14:14" x14ac:dyDescent="0.25">
      <c r="N277" s="186"/>
    </row>
    <row r="278" spans="14:14" x14ac:dyDescent="0.25">
      <c r="N278" s="186"/>
    </row>
    <row r="279" spans="14:14" x14ac:dyDescent="0.25">
      <c r="N279" s="186"/>
    </row>
    <row r="280" spans="14:14" x14ac:dyDescent="0.25">
      <c r="N280" s="186"/>
    </row>
    <row r="281" spans="14:14" x14ac:dyDescent="0.25">
      <c r="N281" s="186"/>
    </row>
    <row r="282" spans="14:14" x14ac:dyDescent="0.25">
      <c r="N282" s="186"/>
    </row>
    <row r="283" spans="14:14" x14ac:dyDescent="0.25">
      <c r="N283" s="186"/>
    </row>
  </sheetData>
  <mergeCells count="39">
    <mergeCell ref="A1:L1"/>
    <mergeCell ref="A3:L3"/>
    <mergeCell ref="A6:L6"/>
    <mergeCell ref="A7:L7"/>
    <mergeCell ref="C8:G8"/>
    <mergeCell ref="H8:K8"/>
    <mergeCell ref="A9:A10"/>
    <mergeCell ref="B9:B10"/>
    <mergeCell ref="C9:C10"/>
    <mergeCell ref="D9:D10"/>
    <mergeCell ref="E9:E10"/>
    <mergeCell ref="J9:J10"/>
    <mergeCell ref="K9:K10"/>
    <mergeCell ref="B72:C72"/>
    <mergeCell ref="D72:F72"/>
    <mergeCell ref="G72:H72"/>
    <mergeCell ref="C70:I70"/>
    <mergeCell ref="F9:F10"/>
    <mergeCell ref="G9:G10"/>
    <mergeCell ref="H9:H10"/>
    <mergeCell ref="I9:I10"/>
    <mergeCell ref="B73:C73"/>
    <mergeCell ref="D73:F73"/>
    <mergeCell ref="G73:H73"/>
    <mergeCell ref="B74:C74"/>
    <mergeCell ref="D74:F74"/>
    <mergeCell ref="G74:H74"/>
    <mergeCell ref="B75:C75"/>
    <mergeCell ref="D75:F75"/>
    <mergeCell ref="G75:H75"/>
    <mergeCell ref="C84:D84"/>
    <mergeCell ref="I84:J84"/>
    <mergeCell ref="B76:C76"/>
    <mergeCell ref="D76:F76"/>
    <mergeCell ref="G76:H76"/>
    <mergeCell ref="C80:D80"/>
    <mergeCell ref="I80:J80"/>
    <mergeCell ref="C83:D83"/>
    <mergeCell ref="I83:J8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opLeftCell="A3" zoomScale="120" zoomScaleNormal="120" workbookViewId="0">
      <selection activeCell="A3" sqref="A1:XFD1048576"/>
    </sheetView>
  </sheetViews>
  <sheetFormatPr baseColWidth="10" defaultColWidth="16.5703125" defaultRowHeight="12.75" x14ac:dyDescent="0.2"/>
  <cols>
    <col min="1" max="1" width="16.5703125" style="1" customWidth="1"/>
    <col min="2" max="5" width="12.7109375" style="1" customWidth="1"/>
    <col min="6" max="6" width="6.5703125" style="1" bestFit="1" customWidth="1"/>
    <col min="7" max="11" width="12.7109375" style="1" customWidth="1"/>
    <col min="12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4" ht="15.75" x14ac:dyDescent="0.25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5.75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ht="15.7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ht="15.75" x14ac:dyDescent="0.25">
      <c r="A5" s="3" t="s">
        <v>2</v>
      </c>
      <c r="B5" s="5"/>
      <c r="C5" s="5"/>
      <c r="D5" s="5"/>
      <c r="E5" s="6"/>
      <c r="F5" s="6"/>
      <c r="G5" s="6"/>
    </row>
    <row r="6" spans="1:14" ht="13.5" x14ac:dyDescent="0.25">
      <c r="C6" s="335" t="s">
        <v>3</v>
      </c>
      <c r="D6" s="335"/>
      <c r="E6" s="336"/>
      <c r="F6" s="336"/>
      <c r="G6" s="336"/>
      <c r="H6" s="335" t="s">
        <v>4</v>
      </c>
      <c r="I6" s="335"/>
      <c r="J6" s="335"/>
      <c r="K6" s="335"/>
    </row>
    <row r="7" spans="1:14" ht="13.5" x14ac:dyDescent="0.25">
      <c r="A7" s="337" t="s">
        <v>5</v>
      </c>
      <c r="B7" s="339" t="s">
        <v>6</v>
      </c>
      <c r="C7" s="339" t="s">
        <v>7</v>
      </c>
      <c r="D7" s="339" t="s">
        <v>8</v>
      </c>
      <c r="E7" s="340" t="s">
        <v>9</v>
      </c>
      <c r="F7" s="340" t="s">
        <v>10</v>
      </c>
      <c r="G7" s="337" t="s">
        <v>11</v>
      </c>
      <c r="H7" s="340" t="s">
        <v>12</v>
      </c>
      <c r="I7" s="340" t="s">
        <v>13</v>
      </c>
      <c r="J7" s="340" t="s">
        <v>14</v>
      </c>
      <c r="K7" s="340" t="s">
        <v>15</v>
      </c>
      <c r="L7" s="7" t="s">
        <v>16</v>
      </c>
    </row>
    <row r="8" spans="1:14" ht="13.5" x14ac:dyDescent="0.2">
      <c r="A8" s="338"/>
      <c r="B8" s="339"/>
      <c r="C8" s="339"/>
      <c r="D8" s="339"/>
      <c r="E8" s="340"/>
      <c r="F8" s="340"/>
      <c r="G8" s="338"/>
      <c r="H8" s="340"/>
      <c r="I8" s="340"/>
      <c r="J8" s="340"/>
      <c r="K8" s="340"/>
      <c r="L8" s="8" t="s">
        <v>17</v>
      </c>
    </row>
    <row r="9" spans="1:14" s="17" customFormat="1" ht="13.5" x14ac:dyDescent="0.25">
      <c r="A9" s="9" t="s">
        <v>18</v>
      </c>
      <c r="B9" s="10">
        <v>9497181.3399999999</v>
      </c>
      <c r="C9" s="10">
        <v>8825602.3300000001</v>
      </c>
      <c r="D9" s="11">
        <v>0</v>
      </c>
      <c r="E9" s="10">
        <v>3019688.33</v>
      </c>
      <c r="F9" s="12">
        <f>+E9/C9</f>
        <v>0.34215096229018516</v>
      </c>
      <c r="G9" s="10">
        <f>+C9+D9-E9</f>
        <v>5805914</v>
      </c>
      <c r="H9" s="13">
        <f>729310.13+202986.8</f>
        <v>932296.92999999993</v>
      </c>
      <c r="I9" s="14">
        <v>0</v>
      </c>
      <c r="J9" s="14">
        <v>13615.48</v>
      </c>
      <c r="K9" s="14">
        <f>H9+I9-J9</f>
        <v>918681.45</v>
      </c>
      <c r="L9" s="15">
        <f>+F9</f>
        <v>0.34215096229018516</v>
      </c>
      <c r="M9" s="16">
        <f>+K9-G9</f>
        <v>-4887232.55</v>
      </c>
    </row>
    <row r="10" spans="1:14" ht="13.5" x14ac:dyDescent="0.2">
      <c r="A10" s="9" t="s">
        <v>19</v>
      </c>
      <c r="B10" s="10">
        <v>73877</v>
      </c>
      <c r="C10" s="10">
        <v>73877</v>
      </c>
      <c r="D10" s="11">
        <v>0</v>
      </c>
      <c r="E10" s="10">
        <v>73877</v>
      </c>
      <c r="F10" s="12">
        <f t="shared" ref="F10:F23" si="0">+E10/C10</f>
        <v>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f t="shared" ref="L10:L26" si="1">+F10</f>
        <v>1</v>
      </c>
      <c r="M10" s="16">
        <f t="shared" ref="M10:M73" si="2">+K10-G10</f>
        <v>0</v>
      </c>
    </row>
    <row r="11" spans="1:14" ht="13.5" x14ac:dyDescent="0.2">
      <c r="A11" s="9" t="s">
        <v>20</v>
      </c>
      <c r="B11" s="10">
        <v>28462809.77</v>
      </c>
      <c r="C11" s="10">
        <v>28462809.77</v>
      </c>
      <c r="D11" s="11">
        <v>0</v>
      </c>
      <c r="E11" s="10">
        <v>27357486.23</v>
      </c>
      <c r="F11" s="12">
        <f t="shared" si="0"/>
        <v>0.96116604267351646</v>
      </c>
      <c r="G11" s="10">
        <f>+C11+D11-E11</f>
        <v>1105323.5399999991</v>
      </c>
      <c r="H11" s="13">
        <f>170500+1827605.1</f>
        <v>1998105.1</v>
      </c>
      <c r="I11" s="14">
        <v>0</v>
      </c>
      <c r="J11" s="14">
        <f>854134.16+162187.53+719.87</f>
        <v>1017041.56</v>
      </c>
      <c r="K11" s="14">
        <f t="shared" ref="K11:K74" si="3">H11+I11-J11</f>
        <v>981063.54</v>
      </c>
      <c r="L11" s="15">
        <f t="shared" si="1"/>
        <v>0.96116604267351646</v>
      </c>
      <c r="M11" s="16">
        <f t="shared" si="2"/>
        <v>-124259.99999999907</v>
      </c>
      <c r="N11" s="18"/>
    </row>
    <row r="12" spans="1:14" ht="13.5" x14ac:dyDescent="0.2">
      <c r="A12" s="9" t="s">
        <v>21</v>
      </c>
      <c r="B12" s="10">
        <v>266576.99</v>
      </c>
      <c r="C12" s="10">
        <v>266576.99</v>
      </c>
      <c r="D12" s="11">
        <v>0</v>
      </c>
      <c r="E12" s="10">
        <v>80893</v>
      </c>
      <c r="F12" s="12">
        <f t="shared" si="0"/>
        <v>0.30345079670979858</v>
      </c>
      <c r="G12" s="10">
        <f>+C12+D12-E12</f>
        <v>185683.99</v>
      </c>
      <c r="H12" s="13">
        <v>185683.99</v>
      </c>
      <c r="I12" s="14">
        <v>0</v>
      </c>
      <c r="J12" s="14">
        <v>0</v>
      </c>
      <c r="K12" s="14">
        <f t="shared" si="3"/>
        <v>185683.99</v>
      </c>
      <c r="L12" s="15">
        <f t="shared" si="1"/>
        <v>0.30345079670979858</v>
      </c>
      <c r="M12" s="16">
        <f t="shared" si="2"/>
        <v>0</v>
      </c>
    </row>
    <row r="13" spans="1:14" ht="13.5" x14ac:dyDescent="0.2">
      <c r="A13" s="9" t="s">
        <v>22</v>
      </c>
      <c r="B13" s="10">
        <v>757786.85</v>
      </c>
      <c r="C13" s="10">
        <v>757786.85</v>
      </c>
      <c r="D13" s="10">
        <v>149.51</v>
      </c>
      <c r="E13" s="10">
        <v>201977</v>
      </c>
      <c r="F13" s="12">
        <f t="shared" si="0"/>
        <v>0.26653537205086103</v>
      </c>
      <c r="G13" s="10">
        <f t="shared" ref="G13:G21" si="4">+C13+D13-E13</f>
        <v>555959.36</v>
      </c>
      <c r="H13" s="13">
        <v>555959.36</v>
      </c>
      <c r="I13" s="14">
        <v>0</v>
      </c>
      <c r="J13" s="14">
        <v>0</v>
      </c>
      <c r="K13" s="14">
        <f t="shared" si="3"/>
        <v>555959.36</v>
      </c>
      <c r="L13" s="15">
        <f t="shared" si="1"/>
        <v>0.26653537205086103</v>
      </c>
      <c r="M13" s="16">
        <f>+K13-G13</f>
        <v>0</v>
      </c>
    </row>
    <row r="14" spans="1:14" ht="13.5" x14ac:dyDescent="0.2">
      <c r="A14" s="9" t="s">
        <v>23</v>
      </c>
      <c r="B14" s="10">
        <v>919872.2</v>
      </c>
      <c r="C14" s="10">
        <v>919872.2</v>
      </c>
      <c r="D14" s="10">
        <v>408.58</v>
      </c>
      <c r="E14" s="10">
        <v>788192.61</v>
      </c>
      <c r="F14" s="12">
        <f t="shared" si="0"/>
        <v>0.85685012548482287</v>
      </c>
      <c r="G14" s="10">
        <f t="shared" si="4"/>
        <v>132088.16999999993</v>
      </c>
      <c r="H14" s="13">
        <v>132088.17000000001</v>
      </c>
      <c r="I14" s="14">
        <v>0</v>
      </c>
      <c r="J14" s="14">
        <v>0</v>
      </c>
      <c r="K14" s="14">
        <f t="shared" si="3"/>
        <v>132088.17000000001</v>
      </c>
      <c r="L14" s="15">
        <f t="shared" si="1"/>
        <v>0.85685012548482287</v>
      </c>
      <c r="M14" s="16">
        <f t="shared" si="2"/>
        <v>0</v>
      </c>
    </row>
    <row r="15" spans="1:14" ht="13.5" x14ac:dyDescent="0.2">
      <c r="A15" s="9" t="s">
        <v>24</v>
      </c>
      <c r="B15" s="10">
        <v>13636634.35</v>
      </c>
      <c r="C15" s="10">
        <v>13636634.35</v>
      </c>
      <c r="D15" s="11">
        <v>0</v>
      </c>
      <c r="E15" s="10">
        <f>13212786.17</f>
        <v>13212786.17</v>
      </c>
      <c r="F15" s="12">
        <f t="shared" si="0"/>
        <v>0.96891841717527616</v>
      </c>
      <c r="G15" s="10">
        <f>+C15+D15-E15</f>
        <v>423848.1799999997</v>
      </c>
      <c r="H15" s="13">
        <v>720934.97</v>
      </c>
      <c r="I15" s="14">
        <v>1120</v>
      </c>
      <c r="J15" s="14">
        <f>287062+8756.79+2388</f>
        <v>298206.78999999998</v>
      </c>
      <c r="K15" s="14">
        <f t="shared" si="3"/>
        <v>423848.18</v>
      </c>
      <c r="L15" s="15">
        <f t="shared" si="1"/>
        <v>0.96891841717527616</v>
      </c>
      <c r="M15" s="16">
        <f t="shared" si="2"/>
        <v>0</v>
      </c>
    </row>
    <row r="16" spans="1:14" ht="13.5" x14ac:dyDescent="0.2">
      <c r="A16" s="9" t="s">
        <v>25</v>
      </c>
      <c r="B16" s="10">
        <v>868753.03</v>
      </c>
      <c r="C16" s="10">
        <v>868753.03</v>
      </c>
      <c r="D16" s="10">
        <v>131.31</v>
      </c>
      <c r="E16" s="10">
        <v>542712.97</v>
      </c>
      <c r="F16" s="12">
        <f t="shared" si="0"/>
        <v>0.624703398156781</v>
      </c>
      <c r="G16" s="10">
        <f t="shared" si="4"/>
        <v>326171.37000000011</v>
      </c>
      <c r="H16" s="13">
        <v>326171.37</v>
      </c>
      <c r="I16" s="14">
        <v>0</v>
      </c>
      <c r="J16" s="14">
        <v>0</v>
      </c>
      <c r="K16" s="14">
        <f t="shared" si="3"/>
        <v>326171.37</v>
      </c>
      <c r="L16" s="15">
        <f t="shared" si="1"/>
        <v>0.624703398156781</v>
      </c>
      <c r="M16" s="16">
        <f t="shared" si="2"/>
        <v>0</v>
      </c>
    </row>
    <row r="17" spans="1:15" ht="13.5" x14ac:dyDescent="0.2">
      <c r="A17" s="9" t="s">
        <v>26</v>
      </c>
      <c r="B17" s="10">
        <v>0</v>
      </c>
      <c r="C17" s="10">
        <v>0</v>
      </c>
      <c r="D17" s="11">
        <v>0</v>
      </c>
      <c r="E17" s="10">
        <v>0</v>
      </c>
      <c r="F17" s="12">
        <v>0</v>
      </c>
      <c r="G17" s="14">
        <f t="shared" si="4"/>
        <v>0</v>
      </c>
      <c r="H17" s="11">
        <v>0</v>
      </c>
      <c r="I17" s="14">
        <v>0</v>
      </c>
      <c r="J17" s="14">
        <v>0</v>
      </c>
      <c r="K17" s="14">
        <f t="shared" si="3"/>
        <v>0</v>
      </c>
      <c r="L17" s="15">
        <f t="shared" si="1"/>
        <v>0</v>
      </c>
      <c r="M17" s="16">
        <f t="shared" si="2"/>
        <v>0</v>
      </c>
    </row>
    <row r="18" spans="1:15" ht="13.5" x14ac:dyDescent="0.2">
      <c r="A18" s="9" t="s">
        <v>27</v>
      </c>
      <c r="B18" s="10">
        <v>0</v>
      </c>
      <c r="C18" s="10">
        <v>0</v>
      </c>
      <c r="D18" s="11">
        <v>0</v>
      </c>
      <c r="E18" s="10">
        <v>0</v>
      </c>
      <c r="F18" s="12">
        <v>0</v>
      </c>
      <c r="G18" s="14">
        <f t="shared" si="4"/>
        <v>0</v>
      </c>
      <c r="H18" s="11">
        <v>0</v>
      </c>
      <c r="I18" s="14">
        <v>0</v>
      </c>
      <c r="J18" s="14">
        <v>0</v>
      </c>
      <c r="K18" s="14">
        <f t="shared" si="3"/>
        <v>0</v>
      </c>
      <c r="L18" s="15">
        <f t="shared" si="1"/>
        <v>0</v>
      </c>
      <c r="M18" s="16">
        <f t="shared" si="2"/>
        <v>0</v>
      </c>
    </row>
    <row r="19" spans="1:15" ht="13.5" x14ac:dyDescent="0.2">
      <c r="A19" s="9" t="s">
        <v>27</v>
      </c>
      <c r="B19" s="10">
        <v>573447.68000000005</v>
      </c>
      <c r="C19" s="10">
        <v>573447.68999999994</v>
      </c>
      <c r="D19" s="11">
        <v>0</v>
      </c>
      <c r="E19" s="10">
        <v>569680.31999999995</v>
      </c>
      <c r="F19" s="12">
        <f t="shared" si="0"/>
        <v>0.99343031619850108</v>
      </c>
      <c r="G19" s="10">
        <f t="shared" si="4"/>
        <v>3767.3699999999953</v>
      </c>
      <c r="H19" s="13">
        <v>3767.37</v>
      </c>
      <c r="I19" s="14">
        <v>0</v>
      </c>
      <c r="J19" s="14">
        <v>0</v>
      </c>
      <c r="K19" s="14">
        <f t="shared" si="3"/>
        <v>3767.37</v>
      </c>
      <c r="L19" s="15">
        <f t="shared" si="1"/>
        <v>0.99343031619850108</v>
      </c>
      <c r="M19" s="16">
        <f t="shared" si="2"/>
        <v>4.5474735088646412E-12</v>
      </c>
    </row>
    <row r="20" spans="1:15" ht="13.5" x14ac:dyDescent="0.2">
      <c r="A20" s="9" t="s">
        <v>28</v>
      </c>
      <c r="B20" s="10">
        <v>36484.65</v>
      </c>
      <c r="C20" s="10">
        <v>36484.65</v>
      </c>
      <c r="D20" s="11">
        <v>0</v>
      </c>
      <c r="E20" s="10">
        <v>0</v>
      </c>
      <c r="F20" s="12">
        <f t="shared" si="0"/>
        <v>0</v>
      </c>
      <c r="G20" s="10">
        <f t="shared" si="4"/>
        <v>36484.65</v>
      </c>
      <c r="H20" s="13">
        <v>36484.65</v>
      </c>
      <c r="I20" s="14">
        <v>0</v>
      </c>
      <c r="J20" s="14">
        <v>0</v>
      </c>
      <c r="K20" s="14">
        <f t="shared" si="3"/>
        <v>36484.65</v>
      </c>
      <c r="L20" s="15">
        <f t="shared" si="1"/>
        <v>0</v>
      </c>
      <c r="M20" s="16">
        <f t="shared" si="2"/>
        <v>0</v>
      </c>
    </row>
    <row r="21" spans="1:15" ht="13.5" x14ac:dyDescent="0.2">
      <c r="A21" s="9" t="s">
        <v>29</v>
      </c>
      <c r="B21" s="10">
        <v>25802087</v>
      </c>
      <c r="C21" s="10">
        <v>25802087</v>
      </c>
      <c r="D21" s="10">
        <f>1948.34+11855.21+17411.8+24901.03+30826.95+1275.36+39471.97+28017.47</f>
        <v>155708.13</v>
      </c>
      <c r="E21" s="10">
        <v>21425995.98</v>
      </c>
      <c r="F21" s="12">
        <f t="shared" si="0"/>
        <v>0.83039778836494893</v>
      </c>
      <c r="G21" s="10">
        <f t="shared" si="4"/>
        <v>4531799.1499999985</v>
      </c>
      <c r="H21" s="13">
        <f>4256662.33+280000</f>
        <v>4536662.33</v>
      </c>
      <c r="I21" s="14">
        <f>152805.87-30099.8</f>
        <v>122706.06999999999</v>
      </c>
      <c r="J21" s="14">
        <f>20016.25+101234.5+88489.25+27754.43</f>
        <v>237494.43</v>
      </c>
      <c r="K21" s="14">
        <f>H21+I21-J21</f>
        <v>4421873.9700000007</v>
      </c>
      <c r="L21" s="15">
        <f t="shared" si="1"/>
        <v>0.83039778836494893</v>
      </c>
      <c r="M21" s="16">
        <f t="shared" si="2"/>
        <v>-109925.17999999784</v>
      </c>
      <c r="N21" s="18"/>
      <c r="O21" s="18"/>
    </row>
    <row r="22" spans="1:15" ht="13.5" x14ac:dyDescent="0.2">
      <c r="A22" s="9" t="s">
        <v>30</v>
      </c>
      <c r="B22" s="10">
        <v>19272341</v>
      </c>
      <c r="C22" s="10">
        <v>19272341</v>
      </c>
      <c r="D22" s="10">
        <v>1040.23</v>
      </c>
      <c r="E22" s="10">
        <v>17963546.48</v>
      </c>
      <c r="F22" s="12">
        <f t="shared" si="0"/>
        <v>0.93208948928415081</v>
      </c>
      <c r="G22" s="10">
        <f>+C22+D22-E22</f>
        <v>1309834.75</v>
      </c>
      <c r="H22" s="13">
        <v>1586271.03</v>
      </c>
      <c r="I22" s="14">
        <v>0</v>
      </c>
      <c r="J22" s="14">
        <f>117121+2320</f>
        <v>119441</v>
      </c>
      <c r="K22" s="14">
        <f>H22+I22-J22</f>
        <v>1466830.03</v>
      </c>
      <c r="L22" s="15">
        <f t="shared" si="1"/>
        <v>0.93208948928415081</v>
      </c>
      <c r="M22" s="16">
        <f>+K22-G22</f>
        <v>156995.28000000003</v>
      </c>
      <c r="N22" s="19"/>
      <c r="O22" s="18"/>
    </row>
    <row r="23" spans="1:15" ht="13.5" x14ac:dyDescent="0.2">
      <c r="A23" s="9" t="s">
        <v>31</v>
      </c>
      <c r="B23" s="10">
        <v>700000</v>
      </c>
      <c r="C23" s="10">
        <v>700000</v>
      </c>
      <c r="D23" s="11">
        <v>0</v>
      </c>
      <c r="E23" s="10">
        <v>700000</v>
      </c>
      <c r="F23" s="12">
        <f t="shared" si="0"/>
        <v>1</v>
      </c>
      <c r="G23" s="11">
        <v>0</v>
      </c>
      <c r="H23" s="13">
        <v>9956.9</v>
      </c>
      <c r="I23" s="14">
        <v>0</v>
      </c>
      <c r="J23" s="14">
        <f>6034.48+3017.24+905.18</f>
        <v>9956.9</v>
      </c>
      <c r="K23" s="14">
        <f t="shared" si="3"/>
        <v>0</v>
      </c>
      <c r="L23" s="15">
        <f t="shared" si="1"/>
        <v>1</v>
      </c>
      <c r="M23" s="16">
        <f t="shared" si="2"/>
        <v>0</v>
      </c>
    </row>
    <row r="24" spans="1:15" ht="13.5" x14ac:dyDescent="0.2">
      <c r="A24" s="9">
        <v>3001</v>
      </c>
      <c r="B24" s="11">
        <v>0</v>
      </c>
      <c r="C24" s="11">
        <v>0</v>
      </c>
      <c r="D24" s="11">
        <v>0</v>
      </c>
      <c r="E24" s="10">
        <v>0</v>
      </c>
      <c r="F24" s="12">
        <v>0</v>
      </c>
      <c r="G24" s="11">
        <v>0</v>
      </c>
      <c r="H24" s="11">
        <v>0</v>
      </c>
      <c r="I24" s="14">
        <v>0</v>
      </c>
      <c r="J24" s="14">
        <v>0</v>
      </c>
      <c r="K24" s="14">
        <f t="shared" si="3"/>
        <v>0</v>
      </c>
      <c r="L24" s="15">
        <f t="shared" si="1"/>
        <v>0</v>
      </c>
      <c r="M24" s="16">
        <f t="shared" si="2"/>
        <v>0</v>
      </c>
    </row>
    <row r="25" spans="1:15" ht="13.5" x14ac:dyDescent="0.2">
      <c r="A25" s="9">
        <v>3002</v>
      </c>
      <c r="B25" s="11">
        <v>0</v>
      </c>
      <c r="C25" s="11">
        <v>0</v>
      </c>
      <c r="D25" s="11">
        <v>0</v>
      </c>
      <c r="E25" s="10">
        <v>0</v>
      </c>
      <c r="F25" s="12">
        <v>0</v>
      </c>
      <c r="G25" s="11">
        <v>0</v>
      </c>
      <c r="H25" s="11">
        <v>0</v>
      </c>
      <c r="I25" s="14">
        <v>0</v>
      </c>
      <c r="J25" s="14">
        <v>0</v>
      </c>
      <c r="K25" s="14">
        <f t="shared" si="3"/>
        <v>0</v>
      </c>
      <c r="L25" s="15">
        <f t="shared" si="1"/>
        <v>0</v>
      </c>
      <c r="M25" s="16">
        <f t="shared" si="2"/>
        <v>0</v>
      </c>
    </row>
    <row r="26" spans="1:15" ht="13.5" x14ac:dyDescent="0.2">
      <c r="A26" s="9" t="s">
        <v>32</v>
      </c>
      <c r="B26" s="10">
        <v>1483500</v>
      </c>
      <c r="C26" s="10">
        <v>1483500</v>
      </c>
      <c r="D26" s="11">
        <v>0</v>
      </c>
      <c r="E26" s="10">
        <v>1483500</v>
      </c>
      <c r="F26" s="12">
        <f>+E26/C26</f>
        <v>1</v>
      </c>
      <c r="G26" s="11">
        <v>0</v>
      </c>
      <c r="H26" s="13">
        <v>21101.51</v>
      </c>
      <c r="I26" s="14">
        <v>0</v>
      </c>
      <c r="J26" s="14">
        <f>12788.79+6394.4+1918.32</f>
        <v>21101.510000000002</v>
      </c>
      <c r="K26" s="14">
        <f t="shared" si="3"/>
        <v>0</v>
      </c>
      <c r="L26" s="15">
        <f t="shared" si="1"/>
        <v>1</v>
      </c>
      <c r="M26" s="16">
        <f t="shared" si="2"/>
        <v>0</v>
      </c>
    </row>
    <row r="27" spans="1:15" s="5" customFormat="1" ht="13.5" x14ac:dyDescent="0.2">
      <c r="A27" s="20" t="s">
        <v>33</v>
      </c>
      <c r="B27" s="21">
        <f>SUM(B9:B26)</f>
        <v>102351351.86000001</v>
      </c>
      <c r="C27" s="21">
        <f t="shared" ref="C27:K27" si="5">SUM(C9:C26)</f>
        <v>101679772.86000001</v>
      </c>
      <c r="D27" s="21">
        <f t="shared" si="5"/>
        <v>157437.76000000001</v>
      </c>
      <c r="E27" s="21">
        <f t="shared" si="5"/>
        <v>87420336.090000004</v>
      </c>
      <c r="F27" s="22">
        <f>+E27/C27</f>
        <v>0.85976132352662293</v>
      </c>
      <c r="G27" s="21">
        <f t="shared" si="5"/>
        <v>14416874.529999997</v>
      </c>
      <c r="H27" s="21">
        <f t="shared" si="5"/>
        <v>11045483.680000002</v>
      </c>
      <c r="I27" s="21">
        <f t="shared" si="5"/>
        <v>123826.06999999999</v>
      </c>
      <c r="J27" s="21">
        <f t="shared" si="5"/>
        <v>1716857.67</v>
      </c>
      <c r="K27" s="21">
        <f t="shared" si="5"/>
        <v>9452452.0800000001</v>
      </c>
      <c r="L27" s="23"/>
    </row>
    <row r="28" spans="1:15" ht="13.5" x14ac:dyDescent="0.2">
      <c r="A28" s="9" t="s">
        <v>18</v>
      </c>
      <c r="B28" s="10">
        <v>0</v>
      </c>
      <c r="C28" s="10">
        <v>0</v>
      </c>
      <c r="D28" s="10"/>
      <c r="E28" s="10">
        <v>0</v>
      </c>
      <c r="F28" s="12">
        <v>0</v>
      </c>
      <c r="G28" s="10">
        <v>4283.6000000000004</v>
      </c>
      <c r="H28" s="10">
        <v>32268.68</v>
      </c>
      <c r="I28" s="10">
        <v>0</v>
      </c>
      <c r="J28" s="10">
        <v>27985.08</v>
      </c>
      <c r="K28" s="10">
        <f t="shared" si="3"/>
        <v>4283.5999999999985</v>
      </c>
      <c r="L28" s="15"/>
      <c r="M28" s="16">
        <f t="shared" si="2"/>
        <v>0</v>
      </c>
    </row>
    <row r="29" spans="1:15" ht="13.5" x14ac:dyDescent="0.2">
      <c r="A29" s="9" t="s">
        <v>20</v>
      </c>
      <c r="B29" s="10">
        <v>0</v>
      </c>
      <c r="C29" s="10">
        <v>0</v>
      </c>
      <c r="D29" s="10"/>
      <c r="E29" s="10">
        <v>0</v>
      </c>
      <c r="F29" s="12">
        <v>0</v>
      </c>
      <c r="G29" s="10">
        <v>980.95</v>
      </c>
      <c r="H29" s="10">
        <v>45477.47</v>
      </c>
      <c r="I29" s="10">
        <v>0</v>
      </c>
      <c r="J29" s="10">
        <v>0</v>
      </c>
      <c r="K29" s="10">
        <f t="shared" si="3"/>
        <v>45477.47</v>
      </c>
      <c r="L29" s="15"/>
      <c r="M29" s="16">
        <f t="shared" si="2"/>
        <v>44496.520000000004</v>
      </c>
    </row>
    <row r="30" spans="1:15" ht="13.5" x14ac:dyDescent="0.2">
      <c r="A30" s="9" t="s">
        <v>25</v>
      </c>
      <c r="B30" s="10">
        <v>0</v>
      </c>
      <c r="C30" s="10">
        <v>0</v>
      </c>
      <c r="D30" s="10"/>
      <c r="E30" s="10">
        <v>0</v>
      </c>
      <c r="F30" s="12">
        <v>0</v>
      </c>
      <c r="G30" s="10">
        <v>45082.35</v>
      </c>
      <c r="H30" s="10">
        <v>45082.35</v>
      </c>
      <c r="I30" s="10">
        <v>0</v>
      </c>
      <c r="J30" s="10">
        <v>0</v>
      </c>
      <c r="K30" s="10">
        <f t="shared" si="3"/>
        <v>45082.35</v>
      </c>
      <c r="L30" s="15"/>
      <c r="M30" s="16">
        <f t="shared" si="2"/>
        <v>0</v>
      </c>
    </row>
    <row r="31" spans="1:15" ht="13.5" x14ac:dyDescent="0.2">
      <c r="A31" s="9" t="s">
        <v>26</v>
      </c>
      <c r="B31" s="10">
        <v>0</v>
      </c>
      <c r="C31" s="10">
        <v>0</v>
      </c>
      <c r="D31" s="10"/>
      <c r="E31" s="10">
        <v>0</v>
      </c>
      <c r="F31" s="12">
        <v>0</v>
      </c>
      <c r="G31" s="10">
        <v>220218.16</v>
      </c>
      <c r="H31" s="10">
        <v>20218.16</v>
      </c>
      <c r="I31" s="10">
        <v>200000</v>
      </c>
      <c r="J31" s="10">
        <v>0</v>
      </c>
      <c r="K31" s="10">
        <f t="shared" si="3"/>
        <v>220218.16</v>
      </c>
      <c r="L31" s="15"/>
      <c r="M31" s="16">
        <f t="shared" si="2"/>
        <v>0</v>
      </c>
    </row>
    <row r="32" spans="1:15" ht="13.5" x14ac:dyDescent="0.2">
      <c r="A32" s="9" t="s">
        <v>29</v>
      </c>
      <c r="B32" s="10">
        <v>0</v>
      </c>
      <c r="C32" s="10">
        <v>0</v>
      </c>
      <c r="D32" s="10"/>
      <c r="E32" s="10">
        <v>0</v>
      </c>
      <c r="F32" s="12">
        <v>0</v>
      </c>
      <c r="G32" s="10">
        <v>7046921.4000000004</v>
      </c>
      <c r="H32" s="10">
        <f>66.53+2515998.64</f>
        <v>2516065.17</v>
      </c>
      <c r="I32" s="10">
        <v>0</v>
      </c>
      <c r="J32" s="10">
        <v>23933.48</v>
      </c>
      <c r="K32" s="10">
        <f t="shared" si="3"/>
        <v>2492131.69</v>
      </c>
      <c r="L32" s="15"/>
      <c r="M32" s="16">
        <f t="shared" si="2"/>
        <v>-4554789.7100000009</v>
      </c>
    </row>
    <row r="33" spans="1:13" ht="27" x14ac:dyDescent="0.2">
      <c r="A33" s="9" t="s">
        <v>34</v>
      </c>
      <c r="B33" s="10">
        <v>0</v>
      </c>
      <c r="C33" s="10">
        <v>0</v>
      </c>
      <c r="D33" s="10"/>
      <c r="E33" s="10">
        <v>0</v>
      </c>
      <c r="F33" s="12">
        <v>0</v>
      </c>
      <c r="G33" s="10">
        <v>1325080.67</v>
      </c>
      <c r="H33" s="10">
        <v>237102.37</v>
      </c>
      <c r="I33" s="10">
        <v>30099.8</v>
      </c>
      <c r="J33" s="10">
        <v>118844.56</v>
      </c>
      <c r="K33" s="10">
        <f t="shared" si="3"/>
        <v>148357.60999999999</v>
      </c>
      <c r="L33" s="15"/>
      <c r="M33" s="16">
        <f t="shared" si="2"/>
        <v>-1176723.06</v>
      </c>
    </row>
    <row r="34" spans="1:13" ht="13.5" x14ac:dyDescent="0.2">
      <c r="A34" s="9"/>
      <c r="B34" s="10">
        <v>0</v>
      </c>
      <c r="C34" s="10">
        <v>0</v>
      </c>
      <c r="D34" s="10"/>
      <c r="E34" s="10">
        <v>0</v>
      </c>
      <c r="F34" s="12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3"/>
        <v>0</v>
      </c>
      <c r="L34" s="15"/>
      <c r="M34" s="16">
        <f t="shared" si="2"/>
        <v>0</v>
      </c>
    </row>
    <row r="35" spans="1:13" ht="13.5" x14ac:dyDescent="0.2">
      <c r="A35" s="24" t="s">
        <v>35</v>
      </c>
      <c r="B35" s="25">
        <v>0</v>
      </c>
      <c r="C35" s="25">
        <v>0</v>
      </c>
      <c r="D35" s="25"/>
      <c r="E35" s="25">
        <v>0</v>
      </c>
      <c r="F35" s="26">
        <v>0</v>
      </c>
      <c r="G35" s="25">
        <v>8642567.129999999</v>
      </c>
      <c r="H35" s="25">
        <v>8663489.0099999998</v>
      </c>
      <c r="I35" s="25">
        <v>934578.57000000007</v>
      </c>
      <c r="J35" s="25">
        <v>955500.45</v>
      </c>
      <c r="K35" s="25">
        <f t="shared" si="3"/>
        <v>8642567.1300000008</v>
      </c>
      <c r="L35" s="27"/>
      <c r="M35" s="16">
        <f t="shared" si="2"/>
        <v>0</v>
      </c>
    </row>
    <row r="36" spans="1:13" ht="13.5" x14ac:dyDescent="0.2">
      <c r="A36" s="9" t="s">
        <v>18</v>
      </c>
      <c r="B36" s="10">
        <v>0</v>
      </c>
      <c r="C36" s="10">
        <v>0</v>
      </c>
      <c r="D36" s="10"/>
      <c r="E36" s="10">
        <v>0</v>
      </c>
      <c r="F36" s="12">
        <v>0</v>
      </c>
      <c r="G36" s="10">
        <v>57064.89</v>
      </c>
      <c r="H36" s="10">
        <v>132233.86000000002</v>
      </c>
      <c r="I36" s="10">
        <v>185.03</v>
      </c>
      <c r="J36" s="10">
        <v>75354</v>
      </c>
      <c r="K36" s="10">
        <f t="shared" si="3"/>
        <v>57064.890000000014</v>
      </c>
      <c r="L36" s="15"/>
      <c r="M36" s="16">
        <f t="shared" si="2"/>
        <v>0</v>
      </c>
    </row>
    <row r="37" spans="1:13" ht="13.5" x14ac:dyDescent="0.2">
      <c r="A37" s="9" t="s">
        <v>36</v>
      </c>
      <c r="B37" s="10">
        <v>0</v>
      </c>
      <c r="C37" s="10">
        <v>0</v>
      </c>
      <c r="D37" s="10"/>
      <c r="E37" s="10">
        <v>0</v>
      </c>
      <c r="F37" s="12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3"/>
        <v>0</v>
      </c>
      <c r="L37" s="15"/>
      <c r="M37" s="16">
        <f t="shared" si="2"/>
        <v>0</v>
      </c>
    </row>
    <row r="38" spans="1:13" ht="13.5" x14ac:dyDescent="0.2">
      <c r="A38" s="9" t="s">
        <v>20</v>
      </c>
      <c r="B38" s="10">
        <v>0</v>
      </c>
      <c r="C38" s="10">
        <v>0</v>
      </c>
      <c r="D38" s="10"/>
      <c r="E38" s="10">
        <v>0</v>
      </c>
      <c r="F38" s="12">
        <v>0</v>
      </c>
      <c r="G38" s="10">
        <v>54914.5</v>
      </c>
      <c r="H38" s="10">
        <v>51501.9</v>
      </c>
      <c r="I38" s="10">
        <v>0</v>
      </c>
      <c r="J38" s="10">
        <v>-3412.6000000000931</v>
      </c>
      <c r="K38" s="10">
        <f t="shared" si="3"/>
        <v>54914.500000000095</v>
      </c>
      <c r="L38" s="15"/>
      <c r="M38" s="16">
        <f t="shared" si="2"/>
        <v>9.4587448984384537E-11</v>
      </c>
    </row>
    <row r="39" spans="1:13" ht="13.5" x14ac:dyDescent="0.2">
      <c r="A39" s="9" t="s">
        <v>21</v>
      </c>
      <c r="B39" s="10">
        <v>0</v>
      </c>
      <c r="C39" s="10">
        <v>0</v>
      </c>
      <c r="D39" s="10"/>
      <c r="E39" s="10">
        <v>0</v>
      </c>
      <c r="F39" s="12">
        <v>0</v>
      </c>
      <c r="G39" s="10">
        <v>5979.07</v>
      </c>
      <c r="H39" s="10">
        <v>5979.07</v>
      </c>
      <c r="I39" s="10">
        <v>0</v>
      </c>
      <c r="J39" s="10">
        <v>0</v>
      </c>
      <c r="K39" s="10">
        <f t="shared" si="3"/>
        <v>5979.07</v>
      </c>
      <c r="L39" s="15"/>
      <c r="M39" s="16">
        <f t="shared" si="2"/>
        <v>0</v>
      </c>
    </row>
    <row r="40" spans="1:13" ht="13.5" x14ac:dyDescent="0.2">
      <c r="A40" s="9" t="s">
        <v>22</v>
      </c>
      <c r="B40" s="10">
        <v>0</v>
      </c>
      <c r="C40" s="10">
        <v>0</v>
      </c>
      <c r="D40" s="10"/>
      <c r="E40" s="10">
        <v>0</v>
      </c>
      <c r="F40" s="12">
        <v>0</v>
      </c>
      <c r="G40" s="10">
        <v>60932.3</v>
      </c>
      <c r="H40" s="10">
        <v>60932.3</v>
      </c>
      <c r="I40" s="10">
        <v>0</v>
      </c>
      <c r="J40" s="10">
        <v>0</v>
      </c>
      <c r="K40" s="10">
        <f t="shared" si="3"/>
        <v>60932.3</v>
      </c>
      <c r="L40" s="15"/>
      <c r="M40" s="16">
        <f t="shared" si="2"/>
        <v>0</v>
      </c>
    </row>
    <row r="41" spans="1:13" ht="13.5" x14ac:dyDescent="0.2">
      <c r="A41" s="9" t="s">
        <v>24</v>
      </c>
      <c r="B41" s="10">
        <v>0</v>
      </c>
      <c r="C41" s="10">
        <v>0</v>
      </c>
      <c r="D41" s="10"/>
      <c r="E41" s="10">
        <v>0</v>
      </c>
      <c r="F41" s="12">
        <v>0</v>
      </c>
      <c r="G41" s="10">
        <v>17486.5</v>
      </c>
      <c r="H41" s="10">
        <v>17486.5</v>
      </c>
      <c r="I41" s="10">
        <v>0</v>
      </c>
      <c r="J41" s="10">
        <v>0</v>
      </c>
      <c r="K41" s="10">
        <f t="shared" si="3"/>
        <v>17486.5</v>
      </c>
      <c r="L41" s="15"/>
      <c r="M41" s="16">
        <f t="shared" si="2"/>
        <v>0</v>
      </c>
    </row>
    <row r="42" spans="1:13" ht="13.5" x14ac:dyDescent="0.2">
      <c r="A42" s="9" t="s">
        <v>25</v>
      </c>
      <c r="B42" s="10">
        <v>0</v>
      </c>
      <c r="C42" s="10">
        <v>0</v>
      </c>
      <c r="D42" s="10"/>
      <c r="E42" s="10">
        <v>0</v>
      </c>
      <c r="F42" s="12">
        <v>0</v>
      </c>
      <c r="G42" s="10">
        <v>11051.67</v>
      </c>
      <c r="H42" s="10">
        <v>11051.67</v>
      </c>
      <c r="I42" s="10">
        <v>0</v>
      </c>
      <c r="J42" s="10">
        <v>0</v>
      </c>
      <c r="K42" s="10">
        <f t="shared" si="3"/>
        <v>11051.67</v>
      </c>
      <c r="L42" s="15"/>
      <c r="M42" s="16">
        <f t="shared" si="2"/>
        <v>0</v>
      </c>
    </row>
    <row r="43" spans="1:13" ht="13.5" x14ac:dyDescent="0.2">
      <c r="A43" s="9" t="s">
        <v>29</v>
      </c>
      <c r="B43" s="10">
        <v>0</v>
      </c>
      <c r="C43" s="10">
        <v>0</v>
      </c>
      <c r="D43" s="10"/>
      <c r="E43" s="10">
        <v>0</v>
      </c>
      <c r="F43" s="12">
        <v>0</v>
      </c>
      <c r="G43" s="10">
        <v>579680.76</v>
      </c>
      <c r="H43" s="10">
        <v>511987.09</v>
      </c>
      <c r="I43" s="10">
        <v>98358.75</v>
      </c>
      <c r="J43" s="10">
        <v>30665.079999999998</v>
      </c>
      <c r="K43" s="10">
        <f t="shared" si="3"/>
        <v>579680.76000000013</v>
      </c>
      <c r="L43" s="15"/>
      <c r="M43" s="16">
        <f t="shared" si="2"/>
        <v>0</v>
      </c>
    </row>
    <row r="44" spans="1:13" ht="13.5" x14ac:dyDescent="0.2">
      <c r="A44" s="9" t="s">
        <v>30</v>
      </c>
      <c r="B44" s="10">
        <v>0</v>
      </c>
      <c r="C44" s="10">
        <v>0</v>
      </c>
      <c r="D44" s="10"/>
      <c r="E44" s="10">
        <v>0</v>
      </c>
      <c r="F44" s="12">
        <v>0</v>
      </c>
      <c r="G44" s="10">
        <v>6199.68</v>
      </c>
      <c r="H44" s="10">
        <v>0</v>
      </c>
      <c r="I44" s="10">
        <v>6199.68</v>
      </c>
      <c r="J44" s="10">
        <v>0</v>
      </c>
      <c r="K44" s="10">
        <f t="shared" si="3"/>
        <v>6199.68</v>
      </c>
      <c r="L44" s="15"/>
      <c r="M44" s="16">
        <f t="shared" si="2"/>
        <v>0</v>
      </c>
    </row>
    <row r="45" spans="1:13" ht="13.5" x14ac:dyDescent="0.2">
      <c r="A45" s="9">
        <v>3001</v>
      </c>
      <c r="B45" s="10">
        <v>0</v>
      </c>
      <c r="C45" s="10">
        <v>0</v>
      </c>
      <c r="D45" s="10"/>
      <c r="E45" s="10">
        <v>0</v>
      </c>
      <c r="F45" s="12">
        <v>0</v>
      </c>
      <c r="G45" s="10">
        <v>510.97</v>
      </c>
      <c r="H45" s="10">
        <v>696</v>
      </c>
      <c r="I45" s="10">
        <v>0</v>
      </c>
      <c r="J45" s="10">
        <v>185.03</v>
      </c>
      <c r="K45" s="10">
        <f t="shared" si="3"/>
        <v>510.97</v>
      </c>
      <c r="L45" s="15"/>
      <c r="M45" s="16">
        <f t="shared" si="2"/>
        <v>0</v>
      </c>
    </row>
    <row r="46" spans="1:13" ht="13.5" x14ac:dyDescent="0.2">
      <c r="A46" s="9">
        <v>3002</v>
      </c>
      <c r="B46" s="10">
        <v>0</v>
      </c>
      <c r="C46" s="10">
        <v>0</v>
      </c>
      <c r="D46" s="10"/>
      <c r="E46" s="10">
        <v>0</v>
      </c>
      <c r="F46" s="12">
        <v>0</v>
      </c>
      <c r="G46" s="10">
        <v>64791.47</v>
      </c>
      <c r="H46" s="10">
        <v>64920.78</v>
      </c>
      <c r="I46" s="10">
        <v>0</v>
      </c>
      <c r="J46" s="10">
        <v>129.31</v>
      </c>
      <c r="K46" s="10">
        <f t="shared" si="3"/>
        <v>64791.47</v>
      </c>
      <c r="L46" s="15"/>
      <c r="M46" s="16">
        <f t="shared" si="2"/>
        <v>0</v>
      </c>
    </row>
    <row r="47" spans="1:13" ht="13.5" x14ac:dyDescent="0.2">
      <c r="A47" s="9"/>
      <c r="B47" s="10">
        <v>0</v>
      </c>
      <c r="C47" s="10">
        <v>0</v>
      </c>
      <c r="D47" s="10"/>
      <c r="E47" s="10">
        <v>0</v>
      </c>
      <c r="F47" s="12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3"/>
        <v>0</v>
      </c>
      <c r="L47" s="15"/>
      <c r="M47" s="16">
        <f t="shared" si="2"/>
        <v>0</v>
      </c>
    </row>
    <row r="48" spans="1:13" ht="13.5" x14ac:dyDescent="0.2">
      <c r="A48" s="24" t="s">
        <v>37</v>
      </c>
      <c r="B48" s="25">
        <v>0</v>
      </c>
      <c r="C48" s="25">
        <v>0</v>
      </c>
      <c r="D48" s="25"/>
      <c r="E48" s="25">
        <v>0</v>
      </c>
      <c r="F48" s="26">
        <v>0</v>
      </c>
      <c r="G48" s="25">
        <v>858611.81</v>
      </c>
      <c r="H48" s="25">
        <v>1406472.59</v>
      </c>
      <c r="I48" s="25">
        <v>349383.04000000004</v>
      </c>
      <c r="J48" s="25">
        <v>897243.82</v>
      </c>
      <c r="K48" s="25">
        <f t="shared" si="3"/>
        <v>858611.81000000017</v>
      </c>
      <c r="L48" s="27"/>
      <c r="M48" s="16">
        <f t="shared" si="2"/>
        <v>0</v>
      </c>
    </row>
    <row r="49" spans="1:13" ht="13.5" x14ac:dyDescent="0.2">
      <c r="A49" s="9" t="s">
        <v>18</v>
      </c>
      <c r="B49" s="10">
        <v>0</v>
      </c>
      <c r="C49" s="10">
        <v>0</v>
      </c>
      <c r="D49" s="10"/>
      <c r="E49" s="10">
        <v>0</v>
      </c>
      <c r="F49" s="12">
        <v>0</v>
      </c>
      <c r="G49" s="10">
        <v>38436.01</v>
      </c>
      <c r="H49" s="10">
        <v>62509.189999999988</v>
      </c>
      <c r="I49" s="10">
        <v>236626.82</v>
      </c>
      <c r="J49" s="10">
        <v>260700</v>
      </c>
      <c r="K49" s="10">
        <f t="shared" si="3"/>
        <v>38436.010000000009</v>
      </c>
      <c r="L49" s="15"/>
      <c r="M49" s="16">
        <f t="shared" si="2"/>
        <v>0</v>
      </c>
    </row>
    <row r="50" spans="1:13" ht="13.5" x14ac:dyDescent="0.2">
      <c r="A50" s="9" t="s">
        <v>20</v>
      </c>
      <c r="B50" s="10">
        <v>0</v>
      </c>
      <c r="C50" s="10">
        <v>0</v>
      </c>
      <c r="D50" s="10"/>
      <c r="E50" s="10">
        <v>0</v>
      </c>
      <c r="F50" s="12">
        <v>0</v>
      </c>
      <c r="G50" s="10">
        <v>137672.87</v>
      </c>
      <c r="H50" s="10">
        <v>19069.32</v>
      </c>
      <c r="I50" s="10">
        <v>1797063.97</v>
      </c>
      <c r="J50" s="10">
        <v>1678460.42</v>
      </c>
      <c r="K50" s="10">
        <f t="shared" si="3"/>
        <v>137672.87000000011</v>
      </c>
      <c r="L50" s="15"/>
      <c r="M50" s="16">
        <f t="shared" si="2"/>
        <v>0</v>
      </c>
    </row>
    <row r="51" spans="1:13" ht="13.5" x14ac:dyDescent="0.2">
      <c r="A51" s="9" t="s">
        <v>24</v>
      </c>
      <c r="B51" s="10">
        <v>0</v>
      </c>
      <c r="C51" s="10">
        <v>0</v>
      </c>
      <c r="D51" s="10"/>
      <c r="E51" s="10">
        <v>0</v>
      </c>
      <c r="F51" s="12">
        <v>0</v>
      </c>
      <c r="G51" s="10">
        <v>1712.89</v>
      </c>
      <c r="H51" s="10">
        <v>-15687.87</v>
      </c>
      <c r="I51" s="10">
        <v>536079.56000000006</v>
      </c>
      <c r="J51" s="10">
        <v>518678.8</v>
      </c>
      <c r="K51" s="10">
        <f t="shared" si="3"/>
        <v>1712.8900000000722</v>
      </c>
      <c r="L51" s="15"/>
      <c r="M51" s="16">
        <f t="shared" si="2"/>
        <v>7.2077455115504563E-11</v>
      </c>
    </row>
    <row r="52" spans="1:13" ht="13.5" x14ac:dyDescent="0.2">
      <c r="A52" s="9" t="s">
        <v>25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18649.8</v>
      </c>
      <c r="H52" s="10">
        <v>40388.06</v>
      </c>
      <c r="I52" s="10">
        <v>100000</v>
      </c>
      <c r="J52" s="10">
        <v>121738.26</v>
      </c>
      <c r="K52" s="10">
        <f t="shared" si="3"/>
        <v>18649.800000000003</v>
      </c>
      <c r="L52" s="15"/>
      <c r="M52" s="16">
        <f t="shared" si="2"/>
        <v>0</v>
      </c>
    </row>
    <row r="53" spans="1:13" ht="13.5" x14ac:dyDescent="0.2">
      <c r="A53" s="9" t="s">
        <v>29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337850.79</v>
      </c>
      <c r="H53" s="10">
        <v>419631.03</v>
      </c>
      <c r="I53" s="10">
        <v>-7.49</v>
      </c>
      <c r="J53" s="10">
        <v>81772.75</v>
      </c>
      <c r="K53" s="10">
        <f t="shared" si="3"/>
        <v>337850.79000000004</v>
      </c>
      <c r="L53" s="15"/>
      <c r="M53" s="16">
        <f t="shared" si="2"/>
        <v>0</v>
      </c>
    </row>
    <row r="54" spans="1:13" ht="13.5" x14ac:dyDescent="0.2">
      <c r="A54" s="9" t="s">
        <v>30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0</v>
      </c>
      <c r="H54" s="10">
        <v>538779.80000000005</v>
      </c>
      <c r="I54" s="10">
        <v>0</v>
      </c>
      <c r="J54" s="10">
        <v>538779.80000000005</v>
      </c>
      <c r="K54" s="10">
        <f t="shared" si="3"/>
        <v>0</v>
      </c>
      <c r="L54" s="15"/>
      <c r="M54" s="16">
        <f t="shared" si="2"/>
        <v>0</v>
      </c>
    </row>
    <row r="55" spans="1:13" ht="13.5" x14ac:dyDescent="0.2">
      <c r="A55" s="9">
        <v>3001</v>
      </c>
      <c r="B55" s="10">
        <v>0</v>
      </c>
      <c r="C55" s="10">
        <v>0</v>
      </c>
      <c r="D55" s="10"/>
      <c r="E55" s="10">
        <v>0</v>
      </c>
      <c r="F55" s="12">
        <v>0</v>
      </c>
      <c r="G55" s="10">
        <v>314.99</v>
      </c>
      <c r="H55" s="10">
        <v>315</v>
      </c>
      <c r="I55" s="10">
        <v>0</v>
      </c>
      <c r="J55" s="10">
        <v>0.01</v>
      </c>
      <c r="K55" s="10">
        <f t="shared" si="3"/>
        <v>314.99</v>
      </c>
      <c r="L55" s="15"/>
      <c r="M55" s="16">
        <f t="shared" si="2"/>
        <v>0</v>
      </c>
    </row>
    <row r="56" spans="1:13" ht="13.5" x14ac:dyDescent="0.2">
      <c r="A56" s="9">
        <v>3002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12858.9</v>
      </c>
      <c r="H56" s="10">
        <v>12858.91</v>
      </c>
      <c r="I56" s="10">
        <v>0</v>
      </c>
      <c r="J56" s="10">
        <v>0.01</v>
      </c>
      <c r="K56" s="10">
        <f t="shared" si="3"/>
        <v>12858.9</v>
      </c>
      <c r="L56" s="15"/>
      <c r="M56" s="16">
        <f t="shared" si="2"/>
        <v>0</v>
      </c>
    </row>
    <row r="57" spans="1:13" ht="13.5" x14ac:dyDescent="0.2">
      <c r="A57" s="9"/>
      <c r="B57" s="10">
        <v>0</v>
      </c>
      <c r="C57" s="10">
        <v>0</v>
      </c>
      <c r="D57" s="10"/>
      <c r="E57" s="10">
        <v>0</v>
      </c>
      <c r="F57" s="12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3"/>
        <v>0</v>
      </c>
      <c r="L57" s="15"/>
      <c r="M57" s="16">
        <f t="shared" si="2"/>
        <v>0</v>
      </c>
    </row>
    <row r="58" spans="1:13" ht="13.5" x14ac:dyDescent="0.2">
      <c r="A58" s="24" t="s">
        <v>38</v>
      </c>
      <c r="B58" s="25">
        <v>0</v>
      </c>
      <c r="C58" s="25">
        <v>0</v>
      </c>
      <c r="D58" s="25"/>
      <c r="E58" s="25">
        <v>0</v>
      </c>
      <c r="F58" s="26">
        <v>0</v>
      </c>
      <c r="G58" s="25">
        <v>547496.25</v>
      </c>
      <c r="H58" s="25">
        <v>1077863.44</v>
      </c>
      <c r="I58" s="25">
        <v>2669762.86</v>
      </c>
      <c r="J58" s="25">
        <v>3200130.0499999989</v>
      </c>
      <c r="K58" s="25">
        <f t="shared" si="3"/>
        <v>547496.25000000093</v>
      </c>
      <c r="L58" s="27"/>
      <c r="M58" s="16">
        <f t="shared" si="2"/>
        <v>9.3132257461547852E-10</v>
      </c>
    </row>
    <row r="59" spans="1:13" ht="13.5" x14ac:dyDescent="0.2">
      <c r="A59" s="9" t="s">
        <v>18</v>
      </c>
      <c r="B59" s="10">
        <v>0</v>
      </c>
      <c r="C59" s="10">
        <v>0</v>
      </c>
      <c r="D59" s="10"/>
      <c r="E59" s="10">
        <v>0</v>
      </c>
      <c r="F59" s="12">
        <v>0</v>
      </c>
      <c r="G59" s="10">
        <v>70435.27</v>
      </c>
      <c r="H59" s="10">
        <v>27196.65</v>
      </c>
      <c r="I59" s="10">
        <v>1260055.98</v>
      </c>
      <c r="J59" s="10">
        <v>1216817.3599999999</v>
      </c>
      <c r="K59" s="10">
        <f t="shared" si="3"/>
        <v>70435.270000000019</v>
      </c>
      <c r="L59" s="15"/>
      <c r="M59" s="16">
        <f t="shared" si="2"/>
        <v>0</v>
      </c>
    </row>
    <row r="60" spans="1:13" ht="13.5" x14ac:dyDescent="0.2">
      <c r="A60" s="9" t="s">
        <v>36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-10</v>
      </c>
      <c r="H60" s="10">
        <v>-10</v>
      </c>
      <c r="I60" s="10">
        <v>0</v>
      </c>
      <c r="J60" s="10">
        <v>0</v>
      </c>
      <c r="K60" s="10">
        <f t="shared" si="3"/>
        <v>-10</v>
      </c>
      <c r="L60" s="15"/>
      <c r="M60" s="16">
        <f t="shared" si="2"/>
        <v>0</v>
      </c>
    </row>
    <row r="61" spans="1:13" ht="13.5" x14ac:dyDescent="0.2">
      <c r="A61" s="9" t="s">
        <v>20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10409.09</v>
      </c>
      <c r="H61" s="10">
        <v>8124.4500000000007</v>
      </c>
      <c r="I61" s="10">
        <v>1364164.99</v>
      </c>
      <c r="J61" s="10">
        <v>1361880.35</v>
      </c>
      <c r="K61" s="10">
        <f t="shared" si="3"/>
        <v>10409.089999999851</v>
      </c>
      <c r="L61" s="15"/>
      <c r="M61" s="16">
        <f t="shared" si="2"/>
        <v>-1.4915713109076023E-10</v>
      </c>
    </row>
    <row r="62" spans="1:13" ht="13.5" x14ac:dyDescent="0.2">
      <c r="A62" s="9" t="s">
        <v>24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1150.8900000000001</v>
      </c>
      <c r="H62" s="10">
        <v>42631.81</v>
      </c>
      <c r="I62" s="10">
        <v>412765.08</v>
      </c>
      <c r="J62" s="10">
        <v>454246</v>
      </c>
      <c r="K62" s="10">
        <f t="shared" si="3"/>
        <v>1150.890000000014</v>
      </c>
      <c r="L62" s="15"/>
      <c r="M62" s="16">
        <f t="shared" si="2"/>
        <v>1.3869794202037156E-11</v>
      </c>
    </row>
    <row r="63" spans="1:13" ht="13.5" x14ac:dyDescent="0.2">
      <c r="A63" s="9" t="s">
        <v>25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-1415.64</v>
      </c>
      <c r="H63" s="10">
        <v>719.87</v>
      </c>
      <c r="I63" s="10">
        <v>17662.490000000002</v>
      </c>
      <c r="J63" s="10">
        <v>19798</v>
      </c>
      <c r="K63" s="10">
        <f t="shared" si="3"/>
        <v>-1415.6399999999994</v>
      </c>
      <c r="L63" s="15"/>
      <c r="M63" s="16">
        <f t="shared" si="2"/>
        <v>0</v>
      </c>
    </row>
    <row r="64" spans="1:13" ht="13.5" x14ac:dyDescent="0.2">
      <c r="A64" s="9" t="s">
        <v>27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267528.84000000003</v>
      </c>
      <c r="H64" s="10">
        <v>0</v>
      </c>
      <c r="I64" s="10">
        <v>267528.84000000003</v>
      </c>
      <c r="J64" s="10">
        <v>0</v>
      </c>
      <c r="K64" s="10">
        <f t="shared" si="3"/>
        <v>267528.84000000003</v>
      </c>
      <c r="L64" s="15"/>
      <c r="M64" s="16">
        <f t="shared" si="2"/>
        <v>0</v>
      </c>
    </row>
    <row r="65" spans="1:13" ht="13.5" x14ac:dyDescent="0.2">
      <c r="A65" s="9" t="s">
        <v>29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238880.59</v>
      </c>
      <c r="H65" s="10">
        <v>286118.3</v>
      </c>
      <c r="I65" s="10">
        <v>98358.74</v>
      </c>
      <c r="J65" s="10">
        <v>145596.44999999998</v>
      </c>
      <c r="K65" s="10">
        <f t="shared" si="3"/>
        <v>238880.59</v>
      </c>
      <c r="L65" s="15"/>
      <c r="M65" s="16">
        <f t="shared" si="2"/>
        <v>0</v>
      </c>
    </row>
    <row r="66" spans="1:13" ht="13.5" x14ac:dyDescent="0.2">
      <c r="A66" s="9" t="s">
        <v>30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3"/>
        <v>0</v>
      </c>
      <c r="L66" s="15"/>
      <c r="M66" s="16">
        <f t="shared" si="2"/>
        <v>0</v>
      </c>
    </row>
    <row r="67" spans="1:13" ht="13.5" x14ac:dyDescent="0.2">
      <c r="A67" s="9"/>
      <c r="B67" s="10">
        <v>0</v>
      </c>
      <c r="C67" s="10">
        <v>0</v>
      </c>
      <c r="D67" s="10"/>
      <c r="E67" s="10">
        <v>0</v>
      </c>
      <c r="F67" s="12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3"/>
        <v>0</v>
      </c>
      <c r="L67" s="15"/>
      <c r="M67" s="16">
        <f t="shared" si="2"/>
        <v>0</v>
      </c>
    </row>
    <row r="68" spans="1:13" ht="13.5" x14ac:dyDescent="0.2">
      <c r="A68" s="24" t="s">
        <v>39</v>
      </c>
      <c r="B68" s="25">
        <v>0</v>
      </c>
      <c r="C68" s="25">
        <v>0</v>
      </c>
      <c r="D68" s="25"/>
      <c r="E68" s="25">
        <v>0</v>
      </c>
      <c r="F68" s="26">
        <v>0</v>
      </c>
      <c r="G68" s="25">
        <v>586979.04</v>
      </c>
      <c r="H68" s="25">
        <v>364781.07999999996</v>
      </c>
      <c r="I68" s="25">
        <v>3420536.12</v>
      </c>
      <c r="J68" s="25">
        <v>3198338.16</v>
      </c>
      <c r="K68" s="25">
        <f t="shared" si="3"/>
        <v>586979.04</v>
      </c>
      <c r="L68" s="27"/>
      <c r="M68" s="16">
        <f t="shared" si="2"/>
        <v>0</v>
      </c>
    </row>
    <row r="69" spans="1:13" ht="13.5" x14ac:dyDescent="0.2">
      <c r="A69" s="9" t="s">
        <v>18</v>
      </c>
      <c r="B69" s="10">
        <v>0</v>
      </c>
      <c r="C69" s="10">
        <v>0</v>
      </c>
      <c r="D69" s="10"/>
      <c r="E69" s="10">
        <v>0</v>
      </c>
      <c r="F69" s="12">
        <v>0</v>
      </c>
      <c r="G69" s="10">
        <v>1852.17</v>
      </c>
      <c r="H69" s="10">
        <v>21852.97</v>
      </c>
      <c r="I69" s="10">
        <v>0</v>
      </c>
      <c r="J69" s="10">
        <v>20000.8</v>
      </c>
      <c r="K69" s="10">
        <f t="shared" si="3"/>
        <v>1852.1700000000019</v>
      </c>
      <c r="L69" s="15"/>
      <c r="M69" s="16">
        <f t="shared" si="2"/>
        <v>1.8189894035458565E-12</v>
      </c>
    </row>
    <row r="70" spans="1:13" ht="13.5" x14ac:dyDescent="0.2">
      <c r="A70" s="9" t="s">
        <v>24</v>
      </c>
      <c r="B70" s="10">
        <v>0</v>
      </c>
      <c r="C70" s="10">
        <v>0</v>
      </c>
      <c r="D70" s="10"/>
      <c r="E70" s="10">
        <v>0</v>
      </c>
      <c r="F70" s="12">
        <v>0</v>
      </c>
      <c r="G70" s="10">
        <v>43212.38</v>
      </c>
      <c r="H70" s="10">
        <v>43212.38</v>
      </c>
      <c r="I70" s="10">
        <v>0</v>
      </c>
      <c r="J70" s="10">
        <v>0</v>
      </c>
      <c r="K70" s="10">
        <f t="shared" si="3"/>
        <v>43212.38</v>
      </c>
      <c r="L70" s="15"/>
      <c r="M70" s="16">
        <f t="shared" si="2"/>
        <v>0</v>
      </c>
    </row>
    <row r="71" spans="1:13" ht="13.5" x14ac:dyDescent="0.2">
      <c r="A71" s="9" t="s">
        <v>25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1625.34</v>
      </c>
      <c r="H71" s="10">
        <v>8443.23</v>
      </c>
      <c r="I71" s="10">
        <v>10845.58</v>
      </c>
      <c r="J71" s="10">
        <v>17663.47</v>
      </c>
      <c r="K71" s="10">
        <f t="shared" si="3"/>
        <v>1625.3399999999965</v>
      </c>
      <c r="L71" s="15"/>
      <c r="M71" s="16">
        <f t="shared" si="2"/>
        <v>-3.4106051316484809E-12</v>
      </c>
    </row>
    <row r="72" spans="1:13" ht="13.5" x14ac:dyDescent="0.2">
      <c r="A72" s="9" t="s">
        <v>26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20682.669999999998</v>
      </c>
      <c r="H72" s="10">
        <v>0</v>
      </c>
      <c r="I72" s="10">
        <v>20682.669999999998</v>
      </c>
      <c r="J72" s="10">
        <v>0</v>
      </c>
      <c r="K72" s="10">
        <f t="shared" si="3"/>
        <v>20682.669999999998</v>
      </c>
      <c r="L72" s="15"/>
      <c r="M72" s="16">
        <f t="shared" si="2"/>
        <v>0</v>
      </c>
    </row>
    <row r="73" spans="1:13" ht="13.5" x14ac:dyDescent="0.2">
      <c r="A73" s="9" t="s">
        <v>29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74081.95</v>
      </c>
      <c r="H73" s="10">
        <v>79147.360000000001</v>
      </c>
      <c r="I73" s="10">
        <v>0</v>
      </c>
      <c r="J73" s="10">
        <v>5065.41</v>
      </c>
      <c r="K73" s="10">
        <f t="shared" si="3"/>
        <v>74081.95</v>
      </c>
      <c r="L73" s="15"/>
      <c r="M73" s="16">
        <f t="shared" si="2"/>
        <v>0</v>
      </c>
    </row>
    <row r="74" spans="1:13" ht="13.5" x14ac:dyDescent="0.2">
      <c r="A74" s="9" t="s">
        <v>30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50395.07</v>
      </c>
      <c r="H74" s="10">
        <v>0</v>
      </c>
      <c r="I74" s="10">
        <v>0</v>
      </c>
      <c r="J74" s="10">
        <v>0</v>
      </c>
      <c r="K74" s="10">
        <f t="shared" si="3"/>
        <v>0</v>
      </c>
      <c r="L74" s="15"/>
      <c r="M74" s="16">
        <f t="shared" ref="M74:M87" si="6">+K74-G74</f>
        <v>-50395.07</v>
      </c>
    </row>
    <row r="75" spans="1:13" ht="13.5" x14ac:dyDescent="0.2">
      <c r="A75" s="9"/>
      <c r="B75" s="10">
        <v>0</v>
      </c>
      <c r="C75" s="10">
        <v>0</v>
      </c>
      <c r="D75" s="10"/>
      <c r="E75" s="10">
        <v>0</v>
      </c>
      <c r="F75" s="12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ref="K75:K83" si="7">H75+I75-J75</f>
        <v>0</v>
      </c>
      <c r="L75" s="15"/>
      <c r="M75" s="16">
        <f t="shared" si="6"/>
        <v>0</v>
      </c>
    </row>
    <row r="76" spans="1:13" ht="13.5" x14ac:dyDescent="0.2">
      <c r="A76" s="24" t="s">
        <v>40</v>
      </c>
      <c r="B76" s="25">
        <v>0</v>
      </c>
      <c r="C76" s="25">
        <v>0</v>
      </c>
      <c r="D76" s="25"/>
      <c r="E76" s="25">
        <v>0</v>
      </c>
      <c r="F76" s="26">
        <v>0</v>
      </c>
      <c r="G76" s="25">
        <v>191849.58000000002</v>
      </c>
      <c r="H76" s="25">
        <v>206107.62</v>
      </c>
      <c r="I76" s="25">
        <v>31528.25</v>
      </c>
      <c r="J76" s="25">
        <v>45786.290000000008</v>
      </c>
      <c r="K76" s="25">
        <f t="shared" si="7"/>
        <v>191849.58</v>
      </c>
      <c r="L76" s="27"/>
      <c r="M76" s="16">
        <f t="shared" si="6"/>
        <v>0</v>
      </c>
    </row>
    <row r="77" spans="1:13" ht="13.5" x14ac:dyDescent="0.2">
      <c r="A77" s="9" t="s">
        <v>36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12193</v>
      </c>
      <c r="H77" s="10">
        <v>13553.029999999999</v>
      </c>
      <c r="I77" s="10">
        <v>0</v>
      </c>
      <c r="J77" s="10">
        <v>1360.03</v>
      </c>
      <c r="K77" s="10">
        <f t="shared" si="7"/>
        <v>12192.999999999998</v>
      </c>
      <c r="L77" s="15"/>
      <c r="M77" s="16">
        <f t="shared" si="6"/>
        <v>0</v>
      </c>
    </row>
    <row r="78" spans="1:13" ht="13.5" x14ac:dyDescent="0.2">
      <c r="A78" s="9" t="s">
        <v>29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7163.64</v>
      </c>
      <c r="H78" s="10">
        <v>6216.71</v>
      </c>
      <c r="I78" s="10">
        <v>4500</v>
      </c>
      <c r="J78" s="10">
        <v>3553.0699999999997</v>
      </c>
      <c r="K78" s="10">
        <f t="shared" si="7"/>
        <v>7163.6399999999994</v>
      </c>
      <c r="L78" s="15"/>
      <c r="M78" s="16">
        <f t="shared" si="6"/>
        <v>0</v>
      </c>
    </row>
    <row r="79" spans="1:13" ht="13.5" x14ac:dyDescent="0.2">
      <c r="A79" s="9"/>
      <c r="B79" s="10">
        <v>0</v>
      </c>
      <c r="C79" s="10">
        <v>0</v>
      </c>
      <c r="D79" s="10"/>
      <c r="E79" s="10">
        <v>0</v>
      </c>
      <c r="F79" s="12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7"/>
        <v>0</v>
      </c>
      <c r="L79" s="15"/>
      <c r="M79" s="16">
        <f t="shared" si="6"/>
        <v>0</v>
      </c>
    </row>
    <row r="80" spans="1:13" ht="13.5" x14ac:dyDescent="0.2">
      <c r="A80" s="24" t="s">
        <v>41</v>
      </c>
      <c r="B80" s="25">
        <v>0</v>
      </c>
      <c r="C80" s="25">
        <v>0</v>
      </c>
      <c r="D80" s="25"/>
      <c r="E80" s="25">
        <v>0</v>
      </c>
      <c r="F80" s="26">
        <v>0</v>
      </c>
      <c r="G80" s="25">
        <v>19356.64</v>
      </c>
      <c r="H80" s="25">
        <v>19769.739999999998</v>
      </c>
      <c r="I80" s="25">
        <v>4500</v>
      </c>
      <c r="J80" s="25">
        <v>4913.0999999999995</v>
      </c>
      <c r="K80" s="25">
        <f t="shared" si="7"/>
        <v>19356.64</v>
      </c>
      <c r="L80" s="27"/>
      <c r="M80" s="16">
        <f t="shared" si="6"/>
        <v>0</v>
      </c>
    </row>
    <row r="81" spans="1:13" ht="13.5" x14ac:dyDescent="0.2">
      <c r="A81" s="9" t="s">
        <v>36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4081.54</v>
      </c>
      <c r="H81" s="10">
        <v>4081.54</v>
      </c>
      <c r="I81" s="10">
        <v>0</v>
      </c>
      <c r="J81" s="10">
        <v>0</v>
      </c>
      <c r="K81" s="10">
        <f t="shared" si="7"/>
        <v>4081.54</v>
      </c>
      <c r="L81" s="15"/>
      <c r="M81" s="16">
        <f t="shared" si="6"/>
        <v>0</v>
      </c>
    </row>
    <row r="82" spans="1:13" ht="13.5" x14ac:dyDescent="0.2">
      <c r="A82" s="9" t="s">
        <v>29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28063.68</v>
      </c>
      <c r="H82" s="10">
        <v>2763.68</v>
      </c>
      <c r="I82" s="10">
        <v>25300</v>
      </c>
      <c r="J82" s="10">
        <v>0</v>
      </c>
      <c r="K82" s="10">
        <f t="shared" si="7"/>
        <v>28063.68</v>
      </c>
      <c r="L82" s="15"/>
      <c r="M82" s="16">
        <f t="shared" si="6"/>
        <v>0</v>
      </c>
    </row>
    <row r="83" spans="1:13" ht="13.5" x14ac:dyDescent="0.2">
      <c r="A83" s="9"/>
      <c r="B83" s="10">
        <v>0</v>
      </c>
      <c r="C83" s="10">
        <v>0</v>
      </c>
      <c r="D83" s="10"/>
      <c r="E83" s="10">
        <v>0</v>
      </c>
      <c r="F83" s="12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7"/>
        <v>0</v>
      </c>
      <c r="L83" s="15"/>
      <c r="M83" s="16">
        <f t="shared" si="6"/>
        <v>0</v>
      </c>
    </row>
    <row r="84" spans="1:13" ht="13.5" x14ac:dyDescent="0.2">
      <c r="A84" s="24" t="s">
        <v>42</v>
      </c>
      <c r="B84" s="25">
        <v>0</v>
      </c>
      <c r="C84" s="25">
        <v>0</v>
      </c>
      <c r="D84" s="25"/>
      <c r="E84" s="25">
        <v>0</v>
      </c>
      <c r="F84" s="26">
        <v>0</v>
      </c>
      <c r="G84" s="25">
        <v>32145.22</v>
      </c>
      <c r="H84" s="25">
        <v>6845.2199999999993</v>
      </c>
      <c r="I84" s="25">
        <v>25300</v>
      </c>
      <c r="J84" s="25">
        <v>0</v>
      </c>
      <c r="K84" s="25">
        <f>H84+I84-J84</f>
        <v>32145.22</v>
      </c>
      <c r="L84" s="27"/>
      <c r="M84" s="16">
        <f t="shared" si="6"/>
        <v>0</v>
      </c>
    </row>
    <row r="85" spans="1:13" ht="13.5" x14ac:dyDescent="0.2">
      <c r="A85" s="9"/>
      <c r="B85" s="10">
        <v>0</v>
      </c>
      <c r="C85" s="10">
        <v>0</v>
      </c>
      <c r="D85" s="10"/>
      <c r="E85" s="10">
        <v>0</v>
      </c>
      <c r="F85" s="12">
        <v>0</v>
      </c>
      <c r="G85" s="10">
        <v>0</v>
      </c>
      <c r="H85" s="10">
        <v>0</v>
      </c>
      <c r="I85" s="10">
        <v>0</v>
      </c>
      <c r="J85" s="10">
        <v>0</v>
      </c>
      <c r="K85" s="10">
        <f>H85+I85-J85</f>
        <v>0</v>
      </c>
      <c r="L85" s="15"/>
      <c r="M85" s="16">
        <f t="shared" si="6"/>
        <v>0</v>
      </c>
    </row>
    <row r="86" spans="1:13" ht="27" x14ac:dyDescent="0.2">
      <c r="A86" s="24" t="s">
        <v>43</v>
      </c>
      <c r="B86" s="25">
        <v>0</v>
      </c>
      <c r="C86" s="25">
        <v>0</v>
      </c>
      <c r="D86" s="25"/>
      <c r="E86" s="25">
        <v>0</v>
      </c>
      <c r="F86" s="26">
        <v>0</v>
      </c>
      <c r="G86" s="25">
        <v>10879005.670000002</v>
      </c>
      <c r="H86" s="25">
        <v>11745328.699999999</v>
      </c>
      <c r="I86" s="25">
        <v>7435588.8399999999</v>
      </c>
      <c r="J86" s="25">
        <v>8301911.8699999982</v>
      </c>
      <c r="K86" s="25">
        <f>H86+I86-J86</f>
        <v>10879005.670000002</v>
      </c>
      <c r="L86" s="27"/>
      <c r="M86" s="16">
        <f t="shared" si="6"/>
        <v>0</v>
      </c>
    </row>
    <row r="87" spans="1:13" ht="13.5" x14ac:dyDescent="0.2">
      <c r="A87" s="9"/>
      <c r="B87" s="10">
        <v>0</v>
      </c>
      <c r="C87" s="10">
        <v>0</v>
      </c>
      <c r="D87" s="10"/>
      <c r="E87" s="10">
        <v>0</v>
      </c>
      <c r="F87" s="12">
        <v>0</v>
      </c>
      <c r="G87" s="10">
        <v>0</v>
      </c>
      <c r="H87" s="10">
        <v>0</v>
      </c>
      <c r="I87" s="10">
        <v>0</v>
      </c>
      <c r="J87" s="10">
        <v>0</v>
      </c>
      <c r="K87" s="10">
        <f>H87+I87-J87</f>
        <v>0</v>
      </c>
      <c r="L87" s="15"/>
      <c r="M87" s="16">
        <f t="shared" si="6"/>
        <v>0</v>
      </c>
    </row>
    <row r="88" spans="1:13" ht="13.5" x14ac:dyDescent="0.2">
      <c r="A88" s="24" t="s">
        <v>44</v>
      </c>
      <c r="B88" s="25">
        <v>89826931.689999998</v>
      </c>
      <c r="C88" s="25">
        <v>50641455.75</v>
      </c>
      <c r="D88" s="25"/>
      <c r="E88" s="25">
        <v>29577422.260000005</v>
      </c>
      <c r="F88" s="26">
        <v>0</v>
      </c>
      <c r="G88" s="25">
        <v>31943039.16</v>
      </c>
      <c r="H88" s="25">
        <f>+H27+H35+H48+H58+H68+H76+H80+H84+H86</f>
        <v>34536141.079999998</v>
      </c>
      <c r="I88" s="25">
        <v>8148728.5599999996</v>
      </c>
      <c r="J88" s="25">
        <v>9054983.8299999982</v>
      </c>
      <c r="K88" s="25">
        <f>H88+I88-J88</f>
        <v>33629885.810000002</v>
      </c>
      <c r="L88" s="27"/>
    </row>
    <row r="89" spans="1:13" ht="13.5" x14ac:dyDescent="0.25">
      <c r="A89" s="28"/>
      <c r="B89" s="29"/>
      <c r="C89" s="29"/>
      <c r="D89" s="29"/>
      <c r="E89" s="28"/>
      <c r="F89" s="28"/>
      <c r="G89" s="28"/>
      <c r="H89" s="28"/>
      <c r="I89" s="28"/>
      <c r="J89" s="28"/>
      <c r="K89" s="28"/>
      <c r="L89" s="30"/>
    </row>
    <row r="90" spans="1:13" x14ac:dyDescent="0.2">
      <c r="A90" s="19"/>
      <c r="B90" s="19"/>
      <c r="C90" s="333" t="s">
        <v>45</v>
      </c>
      <c r="D90" s="333"/>
      <c r="E90" s="333"/>
      <c r="F90" s="333"/>
      <c r="G90" s="333"/>
      <c r="H90" s="333"/>
      <c r="I90" s="333"/>
      <c r="J90" s="19"/>
      <c r="K90" s="19"/>
      <c r="L90" s="19"/>
    </row>
    <row r="91" spans="1:13" x14ac:dyDescent="0.2">
      <c r="A91" s="19"/>
      <c r="B91" s="19"/>
      <c r="C91" s="31"/>
      <c r="D91" s="31"/>
      <c r="E91" s="31"/>
      <c r="F91" s="31"/>
      <c r="G91" s="31"/>
      <c r="H91" s="31"/>
      <c r="I91" s="31"/>
      <c r="J91" s="19"/>
      <c r="K91" s="19"/>
      <c r="L91" s="19"/>
    </row>
    <row r="92" spans="1:13" ht="13.5" x14ac:dyDescent="0.25">
      <c r="A92" s="19"/>
      <c r="B92" s="325" t="s">
        <v>46</v>
      </c>
      <c r="C92" s="325"/>
      <c r="D92" s="326" t="s">
        <v>47</v>
      </c>
      <c r="E92" s="327"/>
      <c r="F92" s="328"/>
      <c r="G92" s="320" t="s">
        <v>48</v>
      </c>
      <c r="H92" s="320"/>
      <c r="I92" s="32" t="s">
        <v>10</v>
      </c>
      <c r="J92" s="19"/>
      <c r="K92" s="19"/>
      <c r="L92" s="19"/>
    </row>
    <row r="93" spans="1:13" ht="13.5" x14ac:dyDescent="0.25">
      <c r="A93" s="19"/>
      <c r="B93" s="329" t="s">
        <v>49</v>
      </c>
      <c r="C93" s="329"/>
      <c r="D93" s="330">
        <v>8135543</v>
      </c>
      <c r="E93" s="331"/>
      <c r="F93" s="332">
        <v>0</v>
      </c>
      <c r="G93" s="330">
        <v>7893704.2000000002</v>
      </c>
      <c r="H93" s="332"/>
      <c r="I93" s="33">
        <f>G93/D93</f>
        <v>0.97027379733596153</v>
      </c>
      <c r="J93" s="19"/>
      <c r="K93" s="19"/>
      <c r="L93" s="19"/>
    </row>
    <row r="94" spans="1:13" ht="13.5" x14ac:dyDescent="0.25">
      <c r="A94" s="19"/>
      <c r="B94" s="320"/>
      <c r="C94" s="320"/>
      <c r="D94" s="321"/>
      <c r="E94" s="322"/>
      <c r="F94" s="323"/>
      <c r="G94" s="324"/>
      <c r="H94" s="324"/>
      <c r="I94" s="34"/>
      <c r="J94" s="19"/>
      <c r="K94" s="19"/>
      <c r="L94" s="19"/>
    </row>
    <row r="95" spans="1:13" ht="13.5" x14ac:dyDescent="0.25">
      <c r="A95" s="19"/>
      <c r="B95" s="320"/>
      <c r="C95" s="320"/>
      <c r="D95" s="321"/>
      <c r="E95" s="322"/>
      <c r="F95" s="323"/>
      <c r="G95" s="324"/>
      <c r="H95" s="324"/>
      <c r="I95" s="34"/>
      <c r="J95" s="19"/>
      <c r="K95" s="19"/>
      <c r="L95" s="19"/>
    </row>
    <row r="96" spans="1:13" ht="13.5" x14ac:dyDescent="0.25">
      <c r="A96" s="19"/>
      <c r="B96" s="320"/>
      <c r="C96" s="320"/>
      <c r="D96" s="321"/>
      <c r="E96" s="322"/>
      <c r="F96" s="323"/>
      <c r="G96" s="324"/>
      <c r="H96" s="324"/>
      <c r="I96" s="34"/>
      <c r="J96" s="19"/>
      <c r="K96" s="19"/>
      <c r="L96" s="19"/>
    </row>
    <row r="97" spans="1:12" ht="13.5" x14ac:dyDescent="0.25">
      <c r="A97" s="35" t="s">
        <v>50</v>
      </c>
      <c r="B97" s="36"/>
      <c r="C97" s="36"/>
      <c r="D97" s="36"/>
      <c r="E97" s="36"/>
      <c r="F97" s="36"/>
      <c r="G97" s="37"/>
      <c r="H97" s="37"/>
      <c r="I97" s="38"/>
      <c r="J97" s="19"/>
      <c r="K97" s="19"/>
      <c r="L97" s="19"/>
    </row>
  </sheetData>
  <mergeCells count="31">
    <mergeCell ref="C90:I90"/>
    <mergeCell ref="A1:L1"/>
    <mergeCell ref="A3:L3"/>
    <mergeCell ref="C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92:C92"/>
    <mergeCell ref="D92:F92"/>
    <mergeCell ref="G92:H92"/>
    <mergeCell ref="B93:C93"/>
    <mergeCell ref="D93:F93"/>
    <mergeCell ref="G93:H93"/>
    <mergeCell ref="B96:C96"/>
    <mergeCell ref="D96:F96"/>
    <mergeCell ref="G96:H96"/>
    <mergeCell ref="B94:C94"/>
    <mergeCell ref="D94:F94"/>
    <mergeCell ref="G94:H94"/>
    <mergeCell ref="B95:C95"/>
    <mergeCell ref="D95:F95"/>
    <mergeCell ref="G95:H9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283"/>
  <sheetViews>
    <sheetView topLeftCell="A16" workbookViewId="0">
      <selection activeCell="F27" sqref="F27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16.5703125" style="1" customWidth="1"/>
    <col min="14" max="14" width="24.28515625" style="165" customWidth="1"/>
    <col min="15" max="15" width="16.5703125" style="169" customWidth="1"/>
    <col min="16" max="17" width="16.5703125" style="141"/>
    <col min="18" max="257" width="16.5703125" style="1"/>
    <col min="258" max="258" width="16.5703125" style="1" customWidth="1"/>
    <col min="259" max="262" width="12.7109375" style="1" customWidth="1"/>
    <col min="263" max="263" width="6.5703125" style="1" bestFit="1" customWidth="1"/>
    <col min="264" max="268" width="12.7109375" style="1" customWidth="1"/>
    <col min="269" max="513" width="16.5703125" style="1"/>
    <col min="514" max="514" width="16.5703125" style="1" customWidth="1"/>
    <col min="515" max="518" width="12.7109375" style="1" customWidth="1"/>
    <col min="519" max="519" width="6.5703125" style="1" bestFit="1" customWidth="1"/>
    <col min="520" max="524" width="12.7109375" style="1" customWidth="1"/>
    <col min="525" max="769" width="16.5703125" style="1"/>
    <col min="770" max="770" width="16.5703125" style="1" customWidth="1"/>
    <col min="771" max="774" width="12.7109375" style="1" customWidth="1"/>
    <col min="775" max="775" width="6.5703125" style="1" bestFit="1" customWidth="1"/>
    <col min="776" max="780" width="12.7109375" style="1" customWidth="1"/>
    <col min="781" max="1025" width="16.5703125" style="1"/>
    <col min="1026" max="1026" width="16.5703125" style="1" customWidth="1"/>
    <col min="1027" max="1030" width="12.7109375" style="1" customWidth="1"/>
    <col min="1031" max="1031" width="6.5703125" style="1" bestFit="1" customWidth="1"/>
    <col min="1032" max="1036" width="12.7109375" style="1" customWidth="1"/>
    <col min="1037" max="1281" width="16.5703125" style="1"/>
    <col min="1282" max="1282" width="16.5703125" style="1" customWidth="1"/>
    <col min="1283" max="1286" width="12.7109375" style="1" customWidth="1"/>
    <col min="1287" max="1287" width="6.5703125" style="1" bestFit="1" customWidth="1"/>
    <col min="1288" max="1292" width="12.7109375" style="1" customWidth="1"/>
    <col min="1293" max="1537" width="16.5703125" style="1"/>
    <col min="1538" max="1538" width="16.5703125" style="1" customWidth="1"/>
    <col min="1539" max="1542" width="12.7109375" style="1" customWidth="1"/>
    <col min="1543" max="1543" width="6.5703125" style="1" bestFit="1" customWidth="1"/>
    <col min="1544" max="1548" width="12.7109375" style="1" customWidth="1"/>
    <col min="1549" max="1793" width="16.5703125" style="1"/>
    <col min="1794" max="1794" width="16.5703125" style="1" customWidth="1"/>
    <col min="1795" max="1798" width="12.7109375" style="1" customWidth="1"/>
    <col min="1799" max="1799" width="6.5703125" style="1" bestFit="1" customWidth="1"/>
    <col min="1800" max="1804" width="12.7109375" style="1" customWidth="1"/>
    <col min="1805" max="2049" width="16.5703125" style="1"/>
    <col min="2050" max="2050" width="16.5703125" style="1" customWidth="1"/>
    <col min="2051" max="2054" width="12.7109375" style="1" customWidth="1"/>
    <col min="2055" max="2055" width="6.5703125" style="1" bestFit="1" customWidth="1"/>
    <col min="2056" max="2060" width="12.7109375" style="1" customWidth="1"/>
    <col min="2061" max="2305" width="16.5703125" style="1"/>
    <col min="2306" max="2306" width="16.5703125" style="1" customWidth="1"/>
    <col min="2307" max="2310" width="12.7109375" style="1" customWidth="1"/>
    <col min="2311" max="2311" width="6.5703125" style="1" bestFit="1" customWidth="1"/>
    <col min="2312" max="2316" width="12.7109375" style="1" customWidth="1"/>
    <col min="2317" max="2561" width="16.5703125" style="1"/>
    <col min="2562" max="2562" width="16.5703125" style="1" customWidth="1"/>
    <col min="2563" max="2566" width="12.7109375" style="1" customWidth="1"/>
    <col min="2567" max="2567" width="6.5703125" style="1" bestFit="1" customWidth="1"/>
    <col min="2568" max="2572" width="12.7109375" style="1" customWidth="1"/>
    <col min="2573" max="2817" width="16.5703125" style="1"/>
    <col min="2818" max="2818" width="16.5703125" style="1" customWidth="1"/>
    <col min="2819" max="2822" width="12.7109375" style="1" customWidth="1"/>
    <col min="2823" max="2823" width="6.5703125" style="1" bestFit="1" customWidth="1"/>
    <col min="2824" max="2828" width="12.7109375" style="1" customWidth="1"/>
    <col min="2829" max="3073" width="16.5703125" style="1"/>
    <col min="3074" max="3074" width="16.5703125" style="1" customWidth="1"/>
    <col min="3075" max="3078" width="12.7109375" style="1" customWidth="1"/>
    <col min="3079" max="3079" width="6.5703125" style="1" bestFit="1" customWidth="1"/>
    <col min="3080" max="3084" width="12.7109375" style="1" customWidth="1"/>
    <col min="3085" max="3329" width="16.5703125" style="1"/>
    <col min="3330" max="3330" width="16.5703125" style="1" customWidth="1"/>
    <col min="3331" max="3334" width="12.7109375" style="1" customWidth="1"/>
    <col min="3335" max="3335" width="6.5703125" style="1" bestFit="1" customWidth="1"/>
    <col min="3336" max="3340" width="12.7109375" style="1" customWidth="1"/>
    <col min="3341" max="3585" width="16.5703125" style="1"/>
    <col min="3586" max="3586" width="16.5703125" style="1" customWidth="1"/>
    <col min="3587" max="3590" width="12.7109375" style="1" customWidth="1"/>
    <col min="3591" max="3591" width="6.5703125" style="1" bestFit="1" customWidth="1"/>
    <col min="3592" max="3596" width="12.7109375" style="1" customWidth="1"/>
    <col min="3597" max="3841" width="16.5703125" style="1"/>
    <col min="3842" max="3842" width="16.5703125" style="1" customWidth="1"/>
    <col min="3843" max="3846" width="12.7109375" style="1" customWidth="1"/>
    <col min="3847" max="3847" width="6.5703125" style="1" bestFit="1" customWidth="1"/>
    <col min="3848" max="3852" width="12.7109375" style="1" customWidth="1"/>
    <col min="3853" max="4097" width="16.5703125" style="1"/>
    <col min="4098" max="4098" width="16.5703125" style="1" customWidth="1"/>
    <col min="4099" max="4102" width="12.7109375" style="1" customWidth="1"/>
    <col min="4103" max="4103" width="6.5703125" style="1" bestFit="1" customWidth="1"/>
    <col min="4104" max="4108" width="12.7109375" style="1" customWidth="1"/>
    <col min="4109" max="4353" width="16.5703125" style="1"/>
    <col min="4354" max="4354" width="16.5703125" style="1" customWidth="1"/>
    <col min="4355" max="4358" width="12.7109375" style="1" customWidth="1"/>
    <col min="4359" max="4359" width="6.5703125" style="1" bestFit="1" customWidth="1"/>
    <col min="4360" max="4364" width="12.7109375" style="1" customWidth="1"/>
    <col min="4365" max="4609" width="16.5703125" style="1"/>
    <col min="4610" max="4610" width="16.5703125" style="1" customWidth="1"/>
    <col min="4611" max="4614" width="12.7109375" style="1" customWidth="1"/>
    <col min="4615" max="4615" width="6.5703125" style="1" bestFit="1" customWidth="1"/>
    <col min="4616" max="4620" width="12.7109375" style="1" customWidth="1"/>
    <col min="4621" max="4865" width="16.5703125" style="1"/>
    <col min="4866" max="4866" width="16.5703125" style="1" customWidth="1"/>
    <col min="4867" max="4870" width="12.7109375" style="1" customWidth="1"/>
    <col min="4871" max="4871" width="6.5703125" style="1" bestFit="1" customWidth="1"/>
    <col min="4872" max="4876" width="12.7109375" style="1" customWidth="1"/>
    <col min="4877" max="5121" width="16.5703125" style="1"/>
    <col min="5122" max="5122" width="16.5703125" style="1" customWidth="1"/>
    <col min="5123" max="5126" width="12.7109375" style="1" customWidth="1"/>
    <col min="5127" max="5127" width="6.5703125" style="1" bestFit="1" customWidth="1"/>
    <col min="5128" max="5132" width="12.7109375" style="1" customWidth="1"/>
    <col min="5133" max="5377" width="16.5703125" style="1"/>
    <col min="5378" max="5378" width="16.5703125" style="1" customWidth="1"/>
    <col min="5379" max="5382" width="12.7109375" style="1" customWidth="1"/>
    <col min="5383" max="5383" width="6.5703125" style="1" bestFit="1" customWidth="1"/>
    <col min="5384" max="5388" width="12.7109375" style="1" customWidth="1"/>
    <col min="5389" max="5633" width="16.5703125" style="1"/>
    <col min="5634" max="5634" width="16.5703125" style="1" customWidth="1"/>
    <col min="5635" max="5638" width="12.7109375" style="1" customWidth="1"/>
    <col min="5639" max="5639" width="6.5703125" style="1" bestFit="1" customWidth="1"/>
    <col min="5640" max="5644" width="12.7109375" style="1" customWidth="1"/>
    <col min="5645" max="5889" width="16.5703125" style="1"/>
    <col min="5890" max="5890" width="16.5703125" style="1" customWidth="1"/>
    <col min="5891" max="5894" width="12.7109375" style="1" customWidth="1"/>
    <col min="5895" max="5895" width="6.5703125" style="1" bestFit="1" customWidth="1"/>
    <col min="5896" max="5900" width="12.7109375" style="1" customWidth="1"/>
    <col min="5901" max="6145" width="16.5703125" style="1"/>
    <col min="6146" max="6146" width="16.5703125" style="1" customWidth="1"/>
    <col min="6147" max="6150" width="12.7109375" style="1" customWidth="1"/>
    <col min="6151" max="6151" width="6.5703125" style="1" bestFit="1" customWidth="1"/>
    <col min="6152" max="6156" width="12.7109375" style="1" customWidth="1"/>
    <col min="6157" max="6401" width="16.5703125" style="1"/>
    <col min="6402" max="6402" width="16.5703125" style="1" customWidth="1"/>
    <col min="6403" max="6406" width="12.7109375" style="1" customWidth="1"/>
    <col min="6407" max="6407" width="6.5703125" style="1" bestFit="1" customWidth="1"/>
    <col min="6408" max="6412" width="12.7109375" style="1" customWidth="1"/>
    <col min="6413" max="6657" width="16.5703125" style="1"/>
    <col min="6658" max="6658" width="16.5703125" style="1" customWidth="1"/>
    <col min="6659" max="6662" width="12.7109375" style="1" customWidth="1"/>
    <col min="6663" max="6663" width="6.5703125" style="1" bestFit="1" customWidth="1"/>
    <col min="6664" max="6668" width="12.7109375" style="1" customWidth="1"/>
    <col min="6669" max="6913" width="16.5703125" style="1"/>
    <col min="6914" max="6914" width="16.5703125" style="1" customWidth="1"/>
    <col min="6915" max="6918" width="12.7109375" style="1" customWidth="1"/>
    <col min="6919" max="6919" width="6.5703125" style="1" bestFit="1" customWidth="1"/>
    <col min="6920" max="6924" width="12.7109375" style="1" customWidth="1"/>
    <col min="6925" max="7169" width="16.5703125" style="1"/>
    <col min="7170" max="7170" width="16.5703125" style="1" customWidth="1"/>
    <col min="7171" max="7174" width="12.7109375" style="1" customWidth="1"/>
    <col min="7175" max="7175" width="6.5703125" style="1" bestFit="1" customWidth="1"/>
    <col min="7176" max="7180" width="12.7109375" style="1" customWidth="1"/>
    <col min="7181" max="7425" width="16.5703125" style="1"/>
    <col min="7426" max="7426" width="16.5703125" style="1" customWidth="1"/>
    <col min="7427" max="7430" width="12.7109375" style="1" customWidth="1"/>
    <col min="7431" max="7431" width="6.5703125" style="1" bestFit="1" customWidth="1"/>
    <col min="7432" max="7436" width="12.7109375" style="1" customWidth="1"/>
    <col min="7437" max="7681" width="16.5703125" style="1"/>
    <col min="7682" max="7682" width="16.5703125" style="1" customWidth="1"/>
    <col min="7683" max="7686" width="12.7109375" style="1" customWidth="1"/>
    <col min="7687" max="7687" width="6.5703125" style="1" bestFit="1" customWidth="1"/>
    <col min="7688" max="7692" width="12.7109375" style="1" customWidth="1"/>
    <col min="7693" max="7937" width="16.5703125" style="1"/>
    <col min="7938" max="7938" width="16.5703125" style="1" customWidth="1"/>
    <col min="7939" max="7942" width="12.7109375" style="1" customWidth="1"/>
    <col min="7943" max="7943" width="6.5703125" style="1" bestFit="1" customWidth="1"/>
    <col min="7944" max="7948" width="12.7109375" style="1" customWidth="1"/>
    <col min="7949" max="8193" width="16.5703125" style="1"/>
    <col min="8194" max="8194" width="16.5703125" style="1" customWidth="1"/>
    <col min="8195" max="8198" width="12.7109375" style="1" customWidth="1"/>
    <col min="8199" max="8199" width="6.5703125" style="1" bestFit="1" customWidth="1"/>
    <col min="8200" max="8204" width="12.7109375" style="1" customWidth="1"/>
    <col min="8205" max="8449" width="16.5703125" style="1"/>
    <col min="8450" max="8450" width="16.5703125" style="1" customWidth="1"/>
    <col min="8451" max="8454" width="12.7109375" style="1" customWidth="1"/>
    <col min="8455" max="8455" width="6.5703125" style="1" bestFit="1" customWidth="1"/>
    <col min="8456" max="8460" width="12.7109375" style="1" customWidth="1"/>
    <col min="8461" max="8705" width="16.5703125" style="1"/>
    <col min="8706" max="8706" width="16.5703125" style="1" customWidth="1"/>
    <col min="8707" max="8710" width="12.7109375" style="1" customWidth="1"/>
    <col min="8711" max="8711" width="6.5703125" style="1" bestFit="1" customWidth="1"/>
    <col min="8712" max="8716" width="12.7109375" style="1" customWidth="1"/>
    <col min="8717" max="8961" width="16.5703125" style="1"/>
    <col min="8962" max="8962" width="16.5703125" style="1" customWidth="1"/>
    <col min="8963" max="8966" width="12.7109375" style="1" customWidth="1"/>
    <col min="8967" max="8967" width="6.5703125" style="1" bestFit="1" customWidth="1"/>
    <col min="8968" max="8972" width="12.7109375" style="1" customWidth="1"/>
    <col min="8973" max="9217" width="16.5703125" style="1"/>
    <col min="9218" max="9218" width="16.5703125" style="1" customWidth="1"/>
    <col min="9219" max="9222" width="12.7109375" style="1" customWidth="1"/>
    <col min="9223" max="9223" width="6.5703125" style="1" bestFit="1" customWidth="1"/>
    <col min="9224" max="9228" width="12.7109375" style="1" customWidth="1"/>
    <col min="9229" max="9473" width="16.5703125" style="1"/>
    <col min="9474" max="9474" width="16.5703125" style="1" customWidth="1"/>
    <col min="9475" max="9478" width="12.7109375" style="1" customWidth="1"/>
    <col min="9479" max="9479" width="6.5703125" style="1" bestFit="1" customWidth="1"/>
    <col min="9480" max="9484" width="12.7109375" style="1" customWidth="1"/>
    <col min="9485" max="9729" width="16.5703125" style="1"/>
    <col min="9730" max="9730" width="16.5703125" style="1" customWidth="1"/>
    <col min="9731" max="9734" width="12.7109375" style="1" customWidth="1"/>
    <col min="9735" max="9735" width="6.5703125" style="1" bestFit="1" customWidth="1"/>
    <col min="9736" max="9740" width="12.7109375" style="1" customWidth="1"/>
    <col min="9741" max="9985" width="16.5703125" style="1"/>
    <col min="9986" max="9986" width="16.5703125" style="1" customWidth="1"/>
    <col min="9987" max="9990" width="12.7109375" style="1" customWidth="1"/>
    <col min="9991" max="9991" width="6.5703125" style="1" bestFit="1" customWidth="1"/>
    <col min="9992" max="9996" width="12.7109375" style="1" customWidth="1"/>
    <col min="9997" max="10241" width="16.5703125" style="1"/>
    <col min="10242" max="10242" width="16.5703125" style="1" customWidth="1"/>
    <col min="10243" max="10246" width="12.7109375" style="1" customWidth="1"/>
    <col min="10247" max="10247" width="6.5703125" style="1" bestFit="1" customWidth="1"/>
    <col min="10248" max="10252" width="12.7109375" style="1" customWidth="1"/>
    <col min="10253" max="10497" width="16.5703125" style="1"/>
    <col min="10498" max="10498" width="16.5703125" style="1" customWidth="1"/>
    <col min="10499" max="10502" width="12.7109375" style="1" customWidth="1"/>
    <col min="10503" max="10503" width="6.5703125" style="1" bestFit="1" customWidth="1"/>
    <col min="10504" max="10508" width="12.7109375" style="1" customWidth="1"/>
    <col min="10509" max="10753" width="16.5703125" style="1"/>
    <col min="10754" max="10754" width="16.5703125" style="1" customWidth="1"/>
    <col min="10755" max="10758" width="12.7109375" style="1" customWidth="1"/>
    <col min="10759" max="10759" width="6.5703125" style="1" bestFit="1" customWidth="1"/>
    <col min="10760" max="10764" width="12.7109375" style="1" customWidth="1"/>
    <col min="10765" max="11009" width="16.5703125" style="1"/>
    <col min="11010" max="11010" width="16.5703125" style="1" customWidth="1"/>
    <col min="11011" max="11014" width="12.7109375" style="1" customWidth="1"/>
    <col min="11015" max="11015" width="6.5703125" style="1" bestFit="1" customWidth="1"/>
    <col min="11016" max="11020" width="12.7109375" style="1" customWidth="1"/>
    <col min="11021" max="11265" width="16.5703125" style="1"/>
    <col min="11266" max="11266" width="16.5703125" style="1" customWidth="1"/>
    <col min="11267" max="11270" width="12.7109375" style="1" customWidth="1"/>
    <col min="11271" max="11271" width="6.5703125" style="1" bestFit="1" customWidth="1"/>
    <col min="11272" max="11276" width="12.7109375" style="1" customWidth="1"/>
    <col min="11277" max="11521" width="16.5703125" style="1"/>
    <col min="11522" max="11522" width="16.5703125" style="1" customWidth="1"/>
    <col min="11523" max="11526" width="12.7109375" style="1" customWidth="1"/>
    <col min="11527" max="11527" width="6.5703125" style="1" bestFit="1" customWidth="1"/>
    <col min="11528" max="11532" width="12.7109375" style="1" customWidth="1"/>
    <col min="11533" max="11777" width="16.5703125" style="1"/>
    <col min="11778" max="11778" width="16.5703125" style="1" customWidth="1"/>
    <col min="11779" max="11782" width="12.7109375" style="1" customWidth="1"/>
    <col min="11783" max="11783" width="6.5703125" style="1" bestFit="1" customWidth="1"/>
    <col min="11784" max="11788" width="12.7109375" style="1" customWidth="1"/>
    <col min="11789" max="12033" width="16.5703125" style="1"/>
    <col min="12034" max="12034" width="16.5703125" style="1" customWidth="1"/>
    <col min="12035" max="12038" width="12.7109375" style="1" customWidth="1"/>
    <col min="12039" max="12039" width="6.5703125" style="1" bestFit="1" customWidth="1"/>
    <col min="12040" max="12044" width="12.7109375" style="1" customWidth="1"/>
    <col min="12045" max="12289" width="16.5703125" style="1"/>
    <col min="12290" max="12290" width="16.5703125" style="1" customWidth="1"/>
    <col min="12291" max="12294" width="12.7109375" style="1" customWidth="1"/>
    <col min="12295" max="12295" width="6.5703125" style="1" bestFit="1" customWidth="1"/>
    <col min="12296" max="12300" width="12.7109375" style="1" customWidth="1"/>
    <col min="12301" max="12545" width="16.5703125" style="1"/>
    <col min="12546" max="12546" width="16.5703125" style="1" customWidth="1"/>
    <col min="12547" max="12550" width="12.7109375" style="1" customWidth="1"/>
    <col min="12551" max="12551" width="6.5703125" style="1" bestFit="1" customWidth="1"/>
    <col min="12552" max="12556" width="12.7109375" style="1" customWidth="1"/>
    <col min="12557" max="12801" width="16.5703125" style="1"/>
    <col min="12802" max="12802" width="16.5703125" style="1" customWidth="1"/>
    <col min="12803" max="12806" width="12.7109375" style="1" customWidth="1"/>
    <col min="12807" max="12807" width="6.5703125" style="1" bestFit="1" customWidth="1"/>
    <col min="12808" max="12812" width="12.7109375" style="1" customWidth="1"/>
    <col min="12813" max="13057" width="16.5703125" style="1"/>
    <col min="13058" max="13058" width="16.5703125" style="1" customWidth="1"/>
    <col min="13059" max="13062" width="12.7109375" style="1" customWidth="1"/>
    <col min="13063" max="13063" width="6.5703125" style="1" bestFit="1" customWidth="1"/>
    <col min="13064" max="13068" width="12.7109375" style="1" customWidth="1"/>
    <col min="13069" max="13313" width="16.5703125" style="1"/>
    <col min="13314" max="13314" width="16.5703125" style="1" customWidth="1"/>
    <col min="13315" max="13318" width="12.7109375" style="1" customWidth="1"/>
    <col min="13319" max="13319" width="6.5703125" style="1" bestFit="1" customWidth="1"/>
    <col min="13320" max="13324" width="12.7109375" style="1" customWidth="1"/>
    <col min="13325" max="13569" width="16.5703125" style="1"/>
    <col min="13570" max="13570" width="16.5703125" style="1" customWidth="1"/>
    <col min="13571" max="13574" width="12.7109375" style="1" customWidth="1"/>
    <col min="13575" max="13575" width="6.5703125" style="1" bestFit="1" customWidth="1"/>
    <col min="13576" max="13580" width="12.7109375" style="1" customWidth="1"/>
    <col min="13581" max="13825" width="16.5703125" style="1"/>
    <col min="13826" max="13826" width="16.5703125" style="1" customWidth="1"/>
    <col min="13827" max="13830" width="12.7109375" style="1" customWidth="1"/>
    <col min="13831" max="13831" width="6.5703125" style="1" bestFit="1" customWidth="1"/>
    <col min="13832" max="13836" width="12.7109375" style="1" customWidth="1"/>
    <col min="13837" max="14081" width="16.5703125" style="1"/>
    <col min="14082" max="14082" width="16.5703125" style="1" customWidth="1"/>
    <col min="14083" max="14086" width="12.7109375" style="1" customWidth="1"/>
    <col min="14087" max="14087" width="6.5703125" style="1" bestFit="1" customWidth="1"/>
    <col min="14088" max="14092" width="12.7109375" style="1" customWidth="1"/>
    <col min="14093" max="14337" width="16.5703125" style="1"/>
    <col min="14338" max="14338" width="16.5703125" style="1" customWidth="1"/>
    <col min="14339" max="14342" width="12.7109375" style="1" customWidth="1"/>
    <col min="14343" max="14343" width="6.5703125" style="1" bestFit="1" customWidth="1"/>
    <col min="14344" max="14348" width="12.7109375" style="1" customWidth="1"/>
    <col min="14349" max="14593" width="16.5703125" style="1"/>
    <col min="14594" max="14594" width="16.5703125" style="1" customWidth="1"/>
    <col min="14595" max="14598" width="12.7109375" style="1" customWidth="1"/>
    <col min="14599" max="14599" width="6.5703125" style="1" bestFit="1" customWidth="1"/>
    <col min="14600" max="14604" width="12.7109375" style="1" customWidth="1"/>
    <col min="14605" max="14849" width="16.5703125" style="1"/>
    <col min="14850" max="14850" width="16.5703125" style="1" customWidth="1"/>
    <col min="14851" max="14854" width="12.7109375" style="1" customWidth="1"/>
    <col min="14855" max="14855" width="6.5703125" style="1" bestFit="1" customWidth="1"/>
    <col min="14856" max="14860" width="12.7109375" style="1" customWidth="1"/>
    <col min="14861" max="15105" width="16.5703125" style="1"/>
    <col min="15106" max="15106" width="16.5703125" style="1" customWidth="1"/>
    <col min="15107" max="15110" width="12.7109375" style="1" customWidth="1"/>
    <col min="15111" max="15111" width="6.5703125" style="1" bestFit="1" customWidth="1"/>
    <col min="15112" max="15116" width="12.7109375" style="1" customWidth="1"/>
    <col min="15117" max="15361" width="16.5703125" style="1"/>
    <col min="15362" max="15362" width="16.5703125" style="1" customWidth="1"/>
    <col min="15363" max="15366" width="12.7109375" style="1" customWidth="1"/>
    <col min="15367" max="15367" width="6.5703125" style="1" bestFit="1" customWidth="1"/>
    <col min="15368" max="15372" width="12.7109375" style="1" customWidth="1"/>
    <col min="15373" max="15617" width="16.5703125" style="1"/>
    <col min="15618" max="15618" width="16.5703125" style="1" customWidth="1"/>
    <col min="15619" max="15622" width="12.7109375" style="1" customWidth="1"/>
    <col min="15623" max="15623" width="6.5703125" style="1" bestFit="1" customWidth="1"/>
    <col min="15624" max="15628" width="12.7109375" style="1" customWidth="1"/>
    <col min="15629" max="15873" width="16.5703125" style="1"/>
    <col min="15874" max="15874" width="16.5703125" style="1" customWidth="1"/>
    <col min="15875" max="15878" width="12.7109375" style="1" customWidth="1"/>
    <col min="15879" max="15879" width="6.5703125" style="1" bestFit="1" customWidth="1"/>
    <col min="15880" max="15884" width="12.7109375" style="1" customWidth="1"/>
    <col min="15885" max="16129" width="16.5703125" style="1"/>
    <col min="16130" max="16130" width="16.5703125" style="1" customWidth="1"/>
    <col min="16131" max="16134" width="12.7109375" style="1" customWidth="1"/>
    <col min="16135" max="16135" width="6.5703125" style="1" bestFit="1" customWidth="1"/>
    <col min="16136" max="16140" width="12.7109375" style="1" customWidth="1"/>
    <col min="16141" max="16384" width="16.5703125" style="1"/>
  </cols>
  <sheetData>
    <row r="1" spans="1:17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207"/>
      <c r="O1" s="186"/>
    </row>
    <row r="2" spans="1:17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86"/>
    </row>
    <row r="3" spans="1:17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207"/>
      <c r="O3" s="186"/>
    </row>
    <row r="4" spans="1:17" x14ac:dyDescent="0.25">
      <c r="A4" s="3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O4" s="186"/>
    </row>
    <row r="5" spans="1:17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  <c r="O5" s="186"/>
    </row>
    <row r="6" spans="1:17" x14ac:dyDescent="0.25">
      <c r="A6" s="334" t="s">
        <v>54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O6" s="186"/>
    </row>
    <row r="7" spans="1:17" x14ac:dyDescent="0.25">
      <c r="A7" s="334" t="s">
        <v>124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O7" s="186"/>
    </row>
    <row r="8" spans="1:17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  <c r="O8" s="186"/>
    </row>
    <row r="9" spans="1:17" s="17" customForma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30"/>
      <c r="N9" s="166"/>
      <c r="O9" s="187"/>
      <c r="P9" s="142"/>
      <c r="Q9" s="142"/>
    </row>
    <row r="10" spans="1:17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M10" s="30"/>
      <c r="O10" s="186"/>
      <c r="P10" s="151"/>
    </row>
    <row r="11" spans="1:17" s="17" customFormat="1" x14ac:dyDescent="0.25">
      <c r="A11" s="139" t="s">
        <v>18</v>
      </c>
      <c r="B11" s="14">
        <v>14556397.630000001</v>
      </c>
      <c r="C11" s="14">
        <v>5797314.0999999996</v>
      </c>
      <c r="D11" s="11">
        <v>0</v>
      </c>
      <c r="E11" s="14">
        <v>4148893.91</v>
      </c>
      <c r="F11" s="14">
        <f>+E11/C11</f>
        <v>0.71565794753125422</v>
      </c>
      <c r="G11" s="14">
        <f t="shared" ref="G11:G22" si="0">+C11+D11-E11</f>
        <v>1648420.1899999995</v>
      </c>
      <c r="H11" s="11">
        <f>79756.67+834746.76</f>
        <v>914503.43</v>
      </c>
      <c r="I11" s="14">
        <f>989218.93+5412.4</f>
        <v>994631.33000000007</v>
      </c>
      <c r="J11" s="14">
        <f>5072+255642.57</f>
        <v>260714.57</v>
      </c>
      <c r="K11" s="14">
        <f>H11+I11-J11</f>
        <v>1648420.1900000002</v>
      </c>
      <c r="L11" s="15">
        <f>+F11</f>
        <v>0.71565794753125422</v>
      </c>
      <c r="M11" s="163"/>
      <c r="N11" s="62">
        <f>+K11-G11</f>
        <v>0</v>
      </c>
      <c r="O11" s="214">
        <f>+N11+N12</f>
        <v>0</v>
      </c>
      <c r="P11" s="153"/>
      <c r="Q11" s="142"/>
    </row>
    <row r="12" spans="1:17" x14ac:dyDescent="0.2">
      <c r="A12" s="139" t="s">
        <v>20</v>
      </c>
      <c r="B12" s="14">
        <v>25163492</v>
      </c>
      <c r="C12" s="11">
        <v>14635287.27</v>
      </c>
      <c r="D12" s="11">
        <v>0</v>
      </c>
      <c r="E12" s="14">
        <v>14054270.92</v>
      </c>
      <c r="F12" s="14">
        <f t="shared" ref="F12:F17" si="1">+E12/C12</f>
        <v>0.9603003112080355</v>
      </c>
      <c r="G12" s="14">
        <f t="shared" si="0"/>
        <v>581016.34999999963</v>
      </c>
      <c r="H12" s="11">
        <f>30000+268919.6</f>
        <v>298919.59999999998</v>
      </c>
      <c r="I12" s="14">
        <f>531295.09+41491.8</f>
        <v>572786.89</v>
      </c>
      <c r="J12" s="14">
        <f>257322-2000+35368.14</f>
        <v>290690.14</v>
      </c>
      <c r="K12" s="14">
        <f t="shared" ref="K12:K20" si="2">H12+I12-J12</f>
        <v>581016.35</v>
      </c>
      <c r="L12" s="15">
        <f t="shared" ref="L12:L22" si="3">+F12</f>
        <v>0.9603003112080355</v>
      </c>
      <c r="M12" s="163"/>
      <c r="N12" s="62">
        <f>+K12-G12</f>
        <v>0</v>
      </c>
      <c r="O12" s="211"/>
      <c r="P12" s="151"/>
    </row>
    <row r="13" spans="1:17" x14ac:dyDescent="0.2">
      <c r="A13" s="139" t="s">
        <v>21</v>
      </c>
      <c r="B13" s="14">
        <v>185773</v>
      </c>
      <c r="C13" s="11">
        <v>206241.93</v>
      </c>
      <c r="D13" s="11">
        <v>0</v>
      </c>
      <c r="E13" s="11">
        <v>0</v>
      </c>
      <c r="F13" s="14">
        <f t="shared" si="1"/>
        <v>0</v>
      </c>
      <c r="G13" s="14">
        <f t="shared" si="0"/>
        <v>206241.93</v>
      </c>
      <c r="H13" s="11">
        <v>206251.93</v>
      </c>
      <c r="I13" s="14">
        <v>0</v>
      </c>
      <c r="J13" s="14">
        <v>10</v>
      </c>
      <c r="K13" s="14">
        <f t="shared" si="2"/>
        <v>206241.93</v>
      </c>
      <c r="L13" s="15">
        <f t="shared" si="3"/>
        <v>0</v>
      </c>
      <c r="M13" s="163"/>
      <c r="N13" s="62">
        <f>+K13-G13</f>
        <v>0</v>
      </c>
      <c r="O13" s="210"/>
    </row>
    <row r="14" spans="1:17" x14ac:dyDescent="0.2">
      <c r="A14" s="139" t="s">
        <v>22</v>
      </c>
      <c r="B14" s="14">
        <v>388669</v>
      </c>
      <c r="C14" s="11">
        <v>279511.92</v>
      </c>
      <c r="D14" s="11">
        <v>0</v>
      </c>
      <c r="E14" s="11">
        <v>0</v>
      </c>
      <c r="F14" s="14">
        <f t="shared" si="1"/>
        <v>0</v>
      </c>
      <c r="G14" s="14">
        <f t="shared" si="0"/>
        <v>279511.92</v>
      </c>
      <c r="H14" s="11">
        <v>279521.91999999998</v>
      </c>
      <c r="I14" s="14">
        <v>0</v>
      </c>
      <c r="J14" s="14">
        <v>10</v>
      </c>
      <c r="K14" s="14">
        <f t="shared" si="2"/>
        <v>279511.92</v>
      </c>
      <c r="L14" s="15">
        <f t="shared" si="3"/>
        <v>0</v>
      </c>
      <c r="M14" s="163"/>
      <c r="N14" s="62">
        <f>+K14-G14</f>
        <v>0</v>
      </c>
      <c r="O14" s="210"/>
    </row>
    <row r="15" spans="1:17" x14ac:dyDescent="0.2">
      <c r="A15" s="139" t="s">
        <v>23</v>
      </c>
      <c r="B15" s="14">
        <v>1307315</v>
      </c>
      <c r="C15" s="11">
        <v>663679.93000000005</v>
      </c>
      <c r="D15" s="11">
        <v>0</v>
      </c>
      <c r="E15" s="11">
        <v>121900.29</v>
      </c>
      <c r="F15" s="14">
        <f t="shared" si="1"/>
        <v>0.18367331071771295</v>
      </c>
      <c r="G15" s="14">
        <f t="shared" si="0"/>
        <v>541779.64</v>
      </c>
      <c r="H15" s="11">
        <v>541789.64</v>
      </c>
      <c r="I15" s="14">
        <v>0</v>
      </c>
      <c r="J15" s="14">
        <v>10</v>
      </c>
      <c r="K15" s="14">
        <f t="shared" si="2"/>
        <v>541779.64</v>
      </c>
      <c r="L15" s="15">
        <f t="shared" si="3"/>
        <v>0.18367331071771295</v>
      </c>
      <c r="M15" s="163"/>
      <c r="N15" s="62">
        <f t="shared" ref="N15:N20" si="4">+K15-G15</f>
        <v>0</v>
      </c>
      <c r="O15" s="210"/>
    </row>
    <row r="16" spans="1:17" x14ac:dyDescent="0.2">
      <c r="A16" s="139" t="s">
        <v>24</v>
      </c>
      <c r="B16" s="14">
        <v>14002815</v>
      </c>
      <c r="C16" s="11">
        <v>7802819.6500000004</v>
      </c>
      <c r="D16" s="11">
        <v>0</v>
      </c>
      <c r="E16" s="14">
        <v>7193688.2400000002</v>
      </c>
      <c r="F16" s="14">
        <f t="shared" si="1"/>
        <v>0.92193444968319882</v>
      </c>
      <c r="G16" s="14">
        <f t="shared" si="0"/>
        <v>609131.41000000015</v>
      </c>
      <c r="H16" s="11">
        <v>924230.3</v>
      </c>
      <c r="I16" s="14">
        <f>112998.14+20000</f>
        <v>132998.14000000001</v>
      </c>
      <c r="J16" s="14">
        <f>115964+2000+330133.03</f>
        <v>448097.03</v>
      </c>
      <c r="K16" s="14">
        <f t="shared" si="2"/>
        <v>609131.40999999992</v>
      </c>
      <c r="L16" s="15">
        <f t="shared" si="3"/>
        <v>0.92193444968319882</v>
      </c>
      <c r="M16" s="163"/>
      <c r="N16" s="62">
        <f t="shared" si="4"/>
        <v>0</v>
      </c>
      <c r="O16" s="210"/>
      <c r="P16" s="151"/>
    </row>
    <row r="17" spans="1:19" x14ac:dyDescent="0.2">
      <c r="A17" s="139" t="s">
        <v>25</v>
      </c>
      <c r="B17" s="14">
        <v>463393</v>
      </c>
      <c r="C17" s="11">
        <v>534294.93000000005</v>
      </c>
      <c r="D17" s="11">
        <v>0</v>
      </c>
      <c r="E17" s="14">
        <v>188168.2</v>
      </c>
      <c r="F17" s="14">
        <f t="shared" si="1"/>
        <v>0.3521803959472346</v>
      </c>
      <c r="G17" s="14">
        <f t="shared" si="0"/>
        <v>346126.73000000004</v>
      </c>
      <c r="H17" s="11">
        <v>294421.86</v>
      </c>
      <c r="I17" s="14">
        <v>51714.87</v>
      </c>
      <c r="J17" s="14">
        <v>10</v>
      </c>
      <c r="K17" s="14">
        <f t="shared" si="2"/>
        <v>346126.73</v>
      </c>
      <c r="L17" s="15">
        <f t="shared" si="3"/>
        <v>0.3521803959472346</v>
      </c>
      <c r="M17" s="163"/>
      <c r="N17" s="62">
        <f t="shared" si="4"/>
        <v>0</v>
      </c>
      <c r="O17" s="210"/>
    </row>
    <row r="18" spans="1:19" x14ac:dyDescent="0.2">
      <c r="A18" s="139" t="s">
        <v>53</v>
      </c>
      <c r="B18" s="14">
        <v>0</v>
      </c>
      <c r="C18" s="11">
        <v>481948.99</v>
      </c>
      <c r="D18" s="11">
        <v>0</v>
      </c>
      <c r="E18" s="11">
        <v>0</v>
      </c>
      <c r="F18" s="14">
        <v>0</v>
      </c>
      <c r="G18" s="14">
        <f t="shared" si="0"/>
        <v>481948.99</v>
      </c>
      <c r="H18" s="11">
        <v>481948.99</v>
      </c>
      <c r="I18" s="14">
        <v>0</v>
      </c>
      <c r="J18" s="14">
        <v>0</v>
      </c>
      <c r="K18" s="14">
        <f t="shared" si="2"/>
        <v>481948.99</v>
      </c>
      <c r="L18" s="15">
        <f t="shared" si="3"/>
        <v>0</v>
      </c>
      <c r="M18" s="163"/>
      <c r="N18" s="62">
        <f t="shared" si="4"/>
        <v>0</v>
      </c>
      <c r="O18" s="210"/>
    </row>
    <row r="19" spans="1:19" x14ac:dyDescent="0.2">
      <c r="A19" s="139" t="s">
        <v>27</v>
      </c>
      <c r="B19" s="14">
        <v>0</v>
      </c>
      <c r="C19" s="11">
        <v>0</v>
      </c>
      <c r="D19" s="11">
        <v>0</v>
      </c>
      <c r="E19" s="11">
        <v>0</v>
      </c>
      <c r="F19" s="14">
        <v>0</v>
      </c>
      <c r="G19" s="14">
        <f t="shared" si="0"/>
        <v>0</v>
      </c>
      <c r="H19" s="11">
        <v>0</v>
      </c>
      <c r="I19" s="14">
        <v>0</v>
      </c>
      <c r="J19" s="14">
        <v>0</v>
      </c>
      <c r="K19" s="14">
        <f t="shared" si="2"/>
        <v>0</v>
      </c>
      <c r="L19" s="15">
        <f t="shared" si="3"/>
        <v>0</v>
      </c>
      <c r="M19" s="163"/>
      <c r="N19" s="62">
        <f t="shared" si="4"/>
        <v>0</v>
      </c>
      <c r="O19" s="210"/>
    </row>
    <row r="20" spans="1:19" x14ac:dyDescent="0.2">
      <c r="A20" s="139" t="s">
        <v>28</v>
      </c>
      <c r="B20" s="14">
        <v>47686</v>
      </c>
      <c r="C20" s="11">
        <v>30006.21</v>
      </c>
      <c r="D20" s="11">
        <v>0</v>
      </c>
      <c r="E20" s="11">
        <v>0</v>
      </c>
      <c r="F20" s="14">
        <v>0</v>
      </c>
      <c r="G20" s="14">
        <f t="shared" si="0"/>
        <v>30006.21</v>
      </c>
      <c r="H20" s="11">
        <v>30016.21</v>
      </c>
      <c r="I20" s="14">
        <v>0</v>
      </c>
      <c r="J20" s="14">
        <v>10</v>
      </c>
      <c r="K20" s="14">
        <f t="shared" si="2"/>
        <v>30006.21</v>
      </c>
      <c r="L20" s="15">
        <f t="shared" si="3"/>
        <v>0</v>
      </c>
      <c r="M20" s="163"/>
      <c r="N20" s="62">
        <f t="shared" si="4"/>
        <v>0</v>
      </c>
      <c r="O20" s="212"/>
    </row>
    <row r="21" spans="1:19" x14ac:dyDescent="0.2">
      <c r="A21" s="139" t="s">
        <v>29</v>
      </c>
      <c r="B21" s="14">
        <v>27972730</v>
      </c>
      <c r="C21" s="11">
        <v>17614836</v>
      </c>
      <c r="D21" s="11">
        <f>9691.01+38547.05</f>
        <v>48238.060000000005</v>
      </c>
      <c r="E21" s="11">
        <v>0</v>
      </c>
      <c r="F21" s="14">
        <f>+E21/C21</f>
        <v>0</v>
      </c>
      <c r="G21" s="14">
        <f t="shared" si="0"/>
        <v>17663074.059999999</v>
      </c>
      <c r="H21" s="11">
        <f>12502625.35+4000000</f>
        <v>16502625.35</v>
      </c>
      <c r="I21" s="14">
        <f>1160458.71</f>
        <v>1160458.71</v>
      </c>
      <c r="J21" s="14">
        <v>10</v>
      </c>
      <c r="K21" s="14">
        <f>H21+I21-J21</f>
        <v>17663074.059999999</v>
      </c>
      <c r="L21" s="15">
        <f t="shared" si="3"/>
        <v>0</v>
      </c>
      <c r="M21" s="163"/>
      <c r="N21" s="62">
        <f>+K21-G21</f>
        <v>0</v>
      </c>
      <c r="O21" s="212"/>
    </row>
    <row r="22" spans="1:19" x14ac:dyDescent="0.2">
      <c r="A22" s="139" t="s">
        <v>30</v>
      </c>
      <c r="B22" s="14">
        <v>21170980</v>
      </c>
      <c r="C22" s="11">
        <v>11533547.82</v>
      </c>
      <c r="D22" s="11">
        <v>0</v>
      </c>
      <c r="E22" s="14">
        <v>10622736.41</v>
      </c>
      <c r="F22" s="14">
        <f>+E22/C22</f>
        <v>0.92102938105301924</v>
      </c>
      <c r="G22" s="14">
        <f t="shared" si="0"/>
        <v>910811.41000000015</v>
      </c>
      <c r="H22" s="11">
        <v>1997324.13</v>
      </c>
      <c r="I22" s="14">
        <f>19182.99+25370</f>
        <v>44552.990000000005</v>
      </c>
      <c r="J22" s="14">
        <f>39418+1091647.71</f>
        <v>1131065.71</v>
      </c>
      <c r="K22" s="14">
        <f>H22+I22-J22</f>
        <v>910811.40999999992</v>
      </c>
      <c r="L22" s="15">
        <f t="shared" si="3"/>
        <v>0.92102938105301924</v>
      </c>
      <c r="M22" s="163"/>
      <c r="N22" s="107">
        <f>+K22-G22</f>
        <v>0</v>
      </c>
      <c r="O22" s="213"/>
      <c r="R22" s="141"/>
      <c r="S22" s="144"/>
    </row>
    <row r="23" spans="1:19" x14ac:dyDescent="0.2">
      <c r="A23" s="139" t="s">
        <v>57</v>
      </c>
      <c r="B23" s="14">
        <v>0</v>
      </c>
      <c r="C23" s="11">
        <v>1483495.05</v>
      </c>
      <c r="D23" s="11">
        <v>839.28</v>
      </c>
      <c r="E23" s="14">
        <v>0</v>
      </c>
      <c r="F23" s="14">
        <f>+E23/C23</f>
        <v>0</v>
      </c>
      <c r="G23" s="14">
        <f>+C23+D23-E23</f>
        <v>1484334.33</v>
      </c>
      <c r="H23" s="11">
        <v>1489334.33</v>
      </c>
      <c r="I23" s="14">
        <v>0</v>
      </c>
      <c r="J23" s="14">
        <v>5000</v>
      </c>
      <c r="K23" s="14">
        <f>H23+I23-J23</f>
        <v>1484334.33</v>
      </c>
      <c r="L23" s="15">
        <f>+F23</f>
        <v>0</v>
      </c>
      <c r="M23" s="163"/>
      <c r="N23" s="107">
        <f>+K23-G23</f>
        <v>0</v>
      </c>
      <c r="O23" s="213"/>
      <c r="R23" s="141"/>
      <c r="S23" s="144"/>
    </row>
    <row r="24" spans="1:19" s="5" customFormat="1" x14ac:dyDescent="0.2">
      <c r="A24" s="20" t="s">
        <v>60</v>
      </c>
      <c r="B24" s="21">
        <f>SUM(B11:B23)</f>
        <v>105259250.63</v>
      </c>
      <c r="C24" s="21">
        <f t="shared" ref="C24:K24" si="5">SUM(C11:C22)</f>
        <v>59579488.749999993</v>
      </c>
      <c r="D24" s="21">
        <f t="shared" si="5"/>
        <v>48238.060000000005</v>
      </c>
      <c r="E24" s="21">
        <f t="shared" si="5"/>
        <v>36329657.969999999</v>
      </c>
      <c r="F24" s="21">
        <f t="shared" si="5"/>
        <v>4.0547757961404551</v>
      </c>
      <c r="G24" s="21">
        <f t="shared" si="5"/>
        <v>23298068.84</v>
      </c>
      <c r="H24" s="21">
        <f t="shared" si="5"/>
        <v>22471553.359999999</v>
      </c>
      <c r="I24" s="21">
        <f t="shared" si="5"/>
        <v>2957142.9300000006</v>
      </c>
      <c r="J24" s="21">
        <f t="shared" si="5"/>
        <v>2130627.4500000002</v>
      </c>
      <c r="K24" s="21">
        <f t="shared" si="5"/>
        <v>23298068.84</v>
      </c>
      <c r="L24" s="23"/>
      <c r="M24" s="164"/>
      <c r="N24" s="118">
        <f>SUM(N11:N22)</f>
        <v>0</v>
      </c>
      <c r="O24" s="203"/>
      <c r="P24" s="143"/>
      <c r="Q24" s="143"/>
    </row>
    <row r="25" spans="1:19" s="17" customFormat="1" x14ac:dyDescent="0.25">
      <c r="A25" s="139" t="s">
        <v>18</v>
      </c>
      <c r="B25" s="10">
        <v>9668787.5</v>
      </c>
      <c r="C25" s="10">
        <f>+B25-8808992.11</f>
        <v>859795.3900000006</v>
      </c>
      <c r="D25" s="11">
        <v>0</v>
      </c>
      <c r="E25" s="10">
        <v>126202.22</v>
      </c>
      <c r="F25" s="12">
        <f>+E25/C25</f>
        <v>0.14678168953662327</v>
      </c>
      <c r="G25" s="109">
        <f t="shared" ref="G25:G38" si="6">+C25+D25-E25</f>
        <v>733593.17000000062</v>
      </c>
      <c r="H25" s="11">
        <v>760336.44</v>
      </c>
      <c r="I25" s="14">
        <f>35750.7+49054.32+10000+17400</f>
        <v>112205.01999999999</v>
      </c>
      <c r="J25" s="14">
        <f>42293+3275.91+3277.52+90101.86</f>
        <v>138948.29</v>
      </c>
      <c r="K25" s="14">
        <f>H25+I25-J25</f>
        <v>733593.16999999993</v>
      </c>
      <c r="L25" s="15">
        <f>+F25</f>
        <v>0.14678168953662327</v>
      </c>
      <c r="M25" s="163"/>
      <c r="N25" s="62">
        <f t="shared" ref="N25:N38" si="7">+K25-G25</f>
        <v>0</v>
      </c>
      <c r="O25" s="188"/>
      <c r="P25" s="153"/>
      <c r="Q25" s="142"/>
    </row>
    <row r="26" spans="1:19" x14ac:dyDescent="0.2">
      <c r="A26" s="139" t="s">
        <v>20</v>
      </c>
      <c r="B26" s="10">
        <v>27138333.23</v>
      </c>
      <c r="C26" s="10">
        <f>+B26-26415966.23</f>
        <v>722367</v>
      </c>
      <c r="D26" s="11">
        <v>0</v>
      </c>
      <c r="E26" s="10">
        <v>827988.6</v>
      </c>
      <c r="F26" s="12">
        <f t="shared" ref="F26:F31" si="8">+E26/C26</f>
        <v>1.1462159816270676</v>
      </c>
      <c r="G26" s="10">
        <f t="shared" si="6"/>
        <v>-105621.59999999998</v>
      </c>
      <c r="H26" s="13">
        <v>1247074.73</v>
      </c>
      <c r="I26" s="14">
        <f>171846+1000</f>
        <v>172846</v>
      </c>
      <c r="J26" s="14">
        <f>1307677+16708.93+21550.06+179606.34</f>
        <v>1525542.33</v>
      </c>
      <c r="K26" s="14">
        <f t="shared" ref="K26:K33" si="9">H26+I26-J26</f>
        <v>-105621.60000000009</v>
      </c>
      <c r="L26" s="15">
        <f t="shared" ref="L26:L38" si="10">+F26</f>
        <v>1.1462159816270676</v>
      </c>
      <c r="M26" s="163"/>
      <c r="N26" s="62">
        <f t="shared" si="7"/>
        <v>-1.1641532182693481E-10</v>
      </c>
      <c r="O26" s="184"/>
      <c r="P26" s="151"/>
    </row>
    <row r="27" spans="1:19" x14ac:dyDescent="0.2">
      <c r="A27" s="139" t="s">
        <v>21</v>
      </c>
      <c r="B27" s="10">
        <v>321506.03999999998</v>
      </c>
      <c r="C27" s="10">
        <f>+B27-280892.37</f>
        <v>40613.669999999984</v>
      </c>
      <c r="D27" s="11">
        <v>0</v>
      </c>
      <c r="E27" s="11">
        <v>40613.67</v>
      </c>
      <c r="F27" s="12">
        <f t="shared" si="8"/>
        <v>1.0000000000000004</v>
      </c>
      <c r="G27" s="109">
        <f t="shared" si="6"/>
        <v>0</v>
      </c>
      <c r="H27" s="13">
        <v>0</v>
      </c>
      <c r="I27" s="14">
        <v>0</v>
      </c>
      <c r="J27" s="14">
        <v>0</v>
      </c>
      <c r="K27" s="14">
        <f t="shared" si="9"/>
        <v>0</v>
      </c>
      <c r="L27" s="15">
        <f t="shared" si="10"/>
        <v>1.0000000000000004</v>
      </c>
      <c r="M27" s="163"/>
      <c r="N27" s="62">
        <f t="shared" si="7"/>
        <v>0</v>
      </c>
      <c r="O27" s="183"/>
    </row>
    <row r="28" spans="1:19" x14ac:dyDescent="0.2">
      <c r="A28" s="139" t="s">
        <v>22</v>
      </c>
      <c r="B28" s="10">
        <v>570803.89</v>
      </c>
      <c r="C28" s="10">
        <f>+B28-491970.23</f>
        <v>78833.660000000033</v>
      </c>
      <c r="D28" s="11">
        <v>0</v>
      </c>
      <c r="E28" s="11">
        <v>78833.66</v>
      </c>
      <c r="F28" s="12">
        <f t="shared" si="8"/>
        <v>0.99999999999999967</v>
      </c>
      <c r="G28" s="109">
        <f t="shared" si="6"/>
        <v>0</v>
      </c>
      <c r="H28" s="13">
        <v>0</v>
      </c>
      <c r="I28" s="14">
        <v>0</v>
      </c>
      <c r="J28" s="14">
        <v>0</v>
      </c>
      <c r="K28" s="14">
        <f t="shared" si="9"/>
        <v>0</v>
      </c>
      <c r="L28" s="15">
        <f t="shared" si="10"/>
        <v>0.99999999999999967</v>
      </c>
      <c r="M28" s="163"/>
      <c r="N28" s="62">
        <f t="shared" si="7"/>
        <v>0</v>
      </c>
      <c r="O28" s="183"/>
    </row>
    <row r="29" spans="1:19" x14ac:dyDescent="0.2">
      <c r="A29" s="139" t="s">
        <v>23</v>
      </c>
      <c r="B29" s="10">
        <v>1307693.44</v>
      </c>
      <c r="C29" s="10">
        <f>+B29-1273287.15</f>
        <v>34406.290000000037</v>
      </c>
      <c r="D29" s="11">
        <v>0</v>
      </c>
      <c r="E29" s="11">
        <v>34406.29</v>
      </c>
      <c r="F29" s="12">
        <f t="shared" si="8"/>
        <v>0.99999999999999889</v>
      </c>
      <c r="G29" s="109">
        <f t="shared" si="6"/>
        <v>0</v>
      </c>
      <c r="H29" s="13">
        <v>0</v>
      </c>
      <c r="I29" s="14">
        <v>0</v>
      </c>
      <c r="J29" s="14">
        <v>0</v>
      </c>
      <c r="K29" s="14">
        <f t="shared" si="9"/>
        <v>0</v>
      </c>
      <c r="L29" s="15">
        <f t="shared" si="10"/>
        <v>0.99999999999999889</v>
      </c>
      <c r="M29" s="163"/>
      <c r="N29" s="62">
        <f t="shared" si="7"/>
        <v>0</v>
      </c>
      <c r="O29" s="183"/>
    </row>
    <row r="30" spans="1:19" x14ac:dyDescent="0.2">
      <c r="A30" s="139" t="s">
        <v>24</v>
      </c>
      <c r="B30" s="10">
        <v>14234360.859999999</v>
      </c>
      <c r="C30" s="10">
        <f>+B30-14197791.76</f>
        <v>36569.099999999627</v>
      </c>
      <c r="D30" s="11">
        <v>0</v>
      </c>
      <c r="E30" s="10">
        <v>208.8</v>
      </c>
      <c r="F30" s="12">
        <f t="shared" si="8"/>
        <v>5.7097385497592813E-3</v>
      </c>
      <c r="G30" s="109">
        <f t="shared" si="6"/>
        <v>36360.299999999625</v>
      </c>
      <c r="H30" s="13">
        <v>-340080.7</v>
      </c>
      <c r="I30" s="14">
        <v>782752</v>
      </c>
      <c r="J30" s="14">
        <f>280823+125488</f>
        <v>406311</v>
      </c>
      <c r="K30" s="14">
        <f t="shared" si="9"/>
        <v>36360.299999999988</v>
      </c>
      <c r="L30" s="15">
        <f t="shared" si="10"/>
        <v>5.7097385497592813E-3</v>
      </c>
      <c r="M30" s="163"/>
      <c r="N30" s="62">
        <f t="shared" si="7"/>
        <v>3.637978807091713E-10</v>
      </c>
      <c r="O30" s="183"/>
      <c r="P30" s="151"/>
    </row>
    <row r="31" spans="1:19" x14ac:dyDescent="0.2">
      <c r="A31" s="139" t="s">
        <v>25</v>
      </c>
      <c r="B31" s="10">
        <v>658261.61</v>
      </c>
      <c r="C31" s="10">
        <f>+B31-367499.68</f>
        <v>290761.93</v>
      </c>
      <c r="D31" s="11">
        <v>0</v>
      </c>
      <c r="E31" s="10">
        <v>281389.86</v>
      </c>
      <c r="F31" s="12">
        <f t="shared" si="8"/>
        <v>0.96776720391146109</v>
      </c>
      <c r="G31" s="109">
        <f t="shared" si="6"/>
        <v>9372.070000000007</v>
      </c>
      <c r="H31" s="13">
        <v>56340.94</v>
      </c>
      <c r="I31" s="14">
        <v>0</v>
      </c>
      <c r="J31" s="14">
        <v>46968.87</v>
      </c>
      <c r="K31" s="14">
        <f t="shared" si="9"/>
        <v>9372.07</v>
      </c>
      <c r="L31" s="15">
        <f t="shared" si="10"/>
        <v>0.96776720391146109</v>
      </c>
      <c r="M31" s="163"/>
      <c r="N31" s="62">
        <f t="shared" si="7"/>
        <v>0</v>
      </c>
      <c r="O31" s="183"/>
    </row>
    <row r="32" spans="1:19" x14ac:dyDescent="0.2">
      <c r="A32" s="139" t="s">
        <v>53</v>
      </c>
      <c r="B32" s="10">
        <v>158979.12</v>
      </c>
      <c r="C32" s="10">
        <f>+B32</f>
        <v>158979.12</v>
      </c>
      <c r="D32" s="11">
        <v>0</v>
      </c>
      <c r="E32" s="11">
        <v>120000</v>
      </c>
      <c r="F32" s="12">
        <v>0</v>
      </c>
      <c r="G32" s="201">
        <f t="shared" si="6"/>
        <v>38979.119999999995</v>
      </c>
      <c r="H32" s="11">
        <v>43979.12</v>
      </c>
      <c r="I32" s="14">
        <v>0</v>
      </c>
      <c r="J32" s="14">
        <v>5000</v>
      </c>
      <c r="K32" s="14">
        <f t="shared" si="9"/>
        <v>38979.120000000003</v>
      </c>
      <c r="L32" s="15">
        <f t="shared" si="10"/>
        <v>0</v>
      </c>
      <c r="M32" s="163"/>
      <c r="N32" s="62">
        <f t="shared" si="7"/>
        <v>0</v>
      </c>
      <c r="O32" s="183"/>
    </row>
    <row r="33" spans="1:19" x14ac:dyDescent="0.2">
      <c r="A33" s="139" t="s">
        <v>28</v>
      </c>
      <c r="B33" s="10">
        <v>47798.07</v>
      </c>
      <c r="C33" s="10">
        <f>+B33-23516.14</f>
        <v>24281.93</v>
      </c>
      <c r="D33" s="11">
        <v>0</v>
      </c>
      <c r="E33" s="11">
        <v>0</v>
      </c>
      <c r="F33" s="12">
        <v>0</v>
      </c>
      <c r="G33" s="201">
        <f t="shared" si="6"/>
        <v>24281.93</v>
      </c>
      <c r="H33" s="11">
        <v>24281.93</v>
      </c>
      <c r="I33" s="14">
        <v>0</v>
      </c>
      <c r="J33" s="14">
        <v>0</v>
      </c>
      <c r="K33" s="14">
        <f t="shared" si="9"/>
        <v>24281.93</v>
      </c>
      <c r="L33" s="15">
        <f t="shared" si="10"/>
        <v>0</v>
      </c>
      <c r="M33" s="163"/>
      <c r="N33" s="62">
        <f t="shared" si="7"/>
        <v>0</v>
      </c>
      <c r="O33" s="152"/>
    </row>
    <row r="34" spans="1:19" x14ac:dyDescent="0.2">
      <c r="A34" s="139" t="s">
        <v>29</v>
      </c>
      <c r="B34" s="10">
        <v>27972730</v>
      </c>
      <c r="C34" s="10">
        <f>+B34-27809818.06</f>
        <v>162911.94000000134</v>
      </c>
      <c r="D34" s="11">
        <v>186451.15</v>
      </c>
      <c r="E34" s="11">
        <v>0</v>
      </c>
      <c r="F34" s="12">
        <f>+E34/C34</f>
        <v>0</v>
      </c>
      <c r="G34" s="109">
        <f t="shared" si="6"/>
        <v>349363.09000000136</v>
      </c>
      <c r="H34" s="13">
        <v>656033.13</v>
      </c>
      <c r="I34" s="14">
        <f>-1</f>
        <v>-1</v>
      </c>
      <c r="J34" s="14">
        <f>219666.96+67322.53+19679.55</f>
        <v>306669.03999999998</v>
      </c>
      <c r="K34" s="14">
        <f>H34+I34-J34</f>
        <v>349363.09</v>
      </c>
      <c r="L34" s="15">
        <f t="shared" si="10"/>
        <v>0</v>
      </c>
      <c r="M34" s="163"/>
      <c r="N34" s="62">
        <f t="shared" si="7"/>
        <v>-1.3387762010097504E-9</v>
      </c>
      <c r="O34" s="184"/>
    </row>
    <row r="35" spans="1:19" x14ac:dyDescent="0.2">
      <c r="A35" s="139" t="s">
        <v>30</v>
      </c>
      <c r="B35" s="10">
        <v>21170988.52</v>
      </c>
      <c r="C35" s="10">
        <f>+B35-21163370.79</f>
        <v>7617.730000000447</v>
      </c>
      <c r="D35" s="11">
        <v>0</v>
      </c>
      <c r="E35" s="10">
        <v>0</v>
      </c>
      <c r="F35" s="12">
        <f>+E35/C35</f>
        <v>0</v>
      </c>
      <c r="G35" s="109">
        <f t="shared" si="6"/>
        <v>7617.730000000447</v>
      </c>
      <c r="H35" s="13">
        <v>113156.96</v>
      </c>
      <c r="I35" s="14">
        <f>63664.06+25043.71</f>
        <v>88707.76999999999</v>
      </c>
      <c r="J35" s="14">
        <f>170257+6000+17990</f>
        <v>194247</v>
      </c>
      <c r="K35" s="14">
        <f>H35+I35-J35</f>
        <v>7617.7299999999814</v>
      </c>
      <c r="L35" s="15">
        <f t="shared" si="10"/>
        <v>0</v>
      </c>
      <c r="M35" s="163"/>
      <c r="N35" s="107">
        <f t="shared" si="7"/>
        <v>-4.6566128730773926E-10</v>
      </c>
      <c r="O35" s="185"/>
      <c r="R35" s="141"/>
      <c r="S35" s="144"/>
    </row>
    <row r="36" spans="1:19" ht="27" x14ac:dyDescent="0.2">
      <c r="A36" s="139" t="s">
        <v>56</v>
      </c>
      <c r="B36" s="10">
        <v>1500000</v>
      </c>
      <c r="C36" s="10">
        <f>1500000-1499965.2</f>
        <v>34.800000000046566</v>
      </c>
      <c r="D36" s="11">
        <v>0</v>
      </c>
      <c r="E36" s="10">
        <v>0</v>
      </c>
      <c r="F36" s="12">
        <f>+E36/C36</f>
        <v>0</v>
      </c>
      <c r="G36" s="109">
        <f t="shared" si="6"/>
        <v>34.800000000046566</v>
      </c>
      <c r="H36" s="13">
        <v>34.799999999999997</v>
      </c>
      <c r="I36" s="14">
        <v>0</v>
      </c>
      <c r="J36" s="14">
        <v>0</v>
      </c>
      <c r="K36" s="14">
        <f>H36+I36-J36</f>
        <v>34.799999999999997</v>
      </c>
      <c r="L36" s="15">
        <f t="shared" si="10"/>
        <v>0</v>
      </c>
      <c r="M36" s="163"/>
      <c r="N36" s="107">
        <f t="shared" si="7"/>
        <v>-4.6568970901716966E-11</v>
      </c>
      <c r="O36" s="185"/>
      <c r="R36" s="141"/>
      <c r="S36" s="144"/>
    </row>
    <row r="37" spans="1:19" x14ac:dyDescent="0.2">
      <c r="A37" s="139" t="s">
        <v>58</v>
      </c>
      <c r="B37" s="10">
        <v>8800000</v>
      </c>
      <c r="C37" s="10">
        <f>+B37-8793327.97</f>
        <v>6672.0299999993294</v>
      </c>
      <c r="D37" s="11">
        <v>0</v>
      </c>
      <c r="E37" s="10">
        <v>0</v>
      </c>
      <c r="F37" s="12">
        <f>+E37/C37</f>
        <v>0</v>
      </c>
      <c r="G37" s="109">
        <f t="shared" si="6"/>
        <v>6672.0299999993294</v>
      </c>
      <c r="H37" s="13">
        <v>136749.53</v>
      </c>
      <c r="I37" s="14">
        <v>0</v>
      </c>
      <c r="J37" s="14">
        <f>75804.55+37902.27+11370.68+5000</f>
        <v>130077.5</v>
      </c>
      <c r="K37" s="14">
        <f>H37+I37-J37</f>
        <v>6672.0299999999988</v>
      </c>
      <c r="L37" s="15">
        <f t="shared" si="10"/>
        <v>0</v>
      </c>
      <c r="M37" s="163"/>
      <c r="N37" s="107">
        <f t="shared" si="7"/>
        <v>6.6938810050487518E-10</v>
      </c>
      <c r="O37" s="185"/>
      <c r="R37" s="141"/>
      <c r="S37" s="144"/>
    </row>
    <row r="38" spans="1:19" x14ac:dyDescent="0.2">
      <c r="A38" s="139" t="s">
        <v>57</v>
      </c>
      <c r="B38" s="10">
        <v>3362600</v>
      </c>
      <c r="C38" s="10">
        <f>+B38-3361389.36</f>
        <v>1210.6400000001304</v>
      </c>
      <c r="D38" s="11">
        <v>0</v>
      </c>
      <c r="E38" s="10">
        <v>0</v>
      </c>
      <c r="F38" s="12">
        <f>+E38/C38</f>
        <v>0</v>
      </c>
      <c r="G38" s="109">
        <f t="shared" si="6"/>
        <v>1210.6400000001304</v>
      </c>
      <c r="H38" s="13">
        <v>54023.49</v>
      </c>
      <c r="I38" s="14">
        <v>0</v>
      </c>
      <c r="J38" s="14">
        <f>28977.48+14488.74+4346.63+5000</f>
        <v>52812.85</v>
      </c>
      <c r="K38" s="14">
        <f>H38+I38-J38</f>
        <v>1210.6399999999994</v>
      </c>
      <c r="L38" s="15">
        <f t="shared" si="10"/>
        <v>0</v>
      </c>
      <c r="M38" s="163"/>
      <c r="N38" s="107">
        <f t="shared" si="7"/>
        <v>-1.3096723705530167E-10</v>
      </c>
      <c r="O38" s="185"/>
      <c r="R38" s="141"/>
      <c r="S38" s="144"/>
    </row>
    <row r="39" spans="1:19" s="5" customFormat="1" x14ac:dyDescent="0.2">
      <c r="A39" s="20" t="s">
        <v>51</v>
      </c>
      <c r="B39" s="21">
        <f t="shared" ref="B39:K39" si="11">SUM(B25:B35)</f>
        <v>103250242.27999999</v>
      </c>
      <c r="C39" s="21">
        <f t="shared" si="11"/>
        <v>2417137.7600000021</v>
      </c>
      <c r="D39" s="21">
        <f t="shared" si="11"/>
        <v>186451.15</v>
      </c>
      <c r="E39" s="21">
        <f t="shared" si="11"/>
        <v>1509643.1</v>
      </c>
      <c r="F39" s="21">
        <f t="shared" si="11"/>
        <v>5.2664746136249105</v>
      </c>
      <c r="G39" s="21">
        <f t="shared" si="11"/>
        <v>1093945.8100000019</v>
      </c>
      <c r="H39" s="21">
        <f t="shared" si="11"/>
        <v>2561122.5499999998</v>
      </c>
      <c r="I39" s="21">
        <f t="shared" si="11"/>
        <v>1156509.79</v>
      </c>
      <c r="J39" s="21">
        <f t="shared" si="11"/>
        <v>2623686.5300000003</v>
      </c>
      <c r="K39" s="21">
        <f t="shared" si="11"/>
        <v>1093945.8099999998</v>
      </c>
      <c r="L39" s="23"/>
      <c r="M39" s="164"/>
      <c r="N39" s="61"/>
      <c r="O39" s="203"/>
      <c r="P39" s="143"/>
      <c r="Q39" s="143"/>
    </row>
    <row r="40" spans="1:19" s="17" customFormat="1" x14ac:dyDescent="0.25">
      <c r="A40" s="139" t="s">
        <v>18</v>
      </c>
      <c r="B40" s="10">
        <f>+C40</f>
        <v>557287.6400000006</v>
      </c>
      <c r="C40" s="10">
        <f>9497181.34-8522902.7-416991</f>
        <v>557287.6400000006</v>
      </c>
      <c r="D40" s="11">
        <v>0</v>
      </c>
      <c r="E40" s="10">
        <v>2038.23</v>
      </c>
      <c r="F40" s="12">
        <f>+E40/C40</f>
        <v>3.657411099230548E-3</v>
      </c>
      <c r="G40" s="10">
        <f>+C40+D40-E40</f>
        <v>555249.41000000061</v>
      </c>
      <c r="H40" s="13">
        <f>362224.72-0.47</f>
        <v>362224.25</v>
      </c>
      <c r="I40" s="14">
        <f>22013.2+172259.48</f>
        <v>194272.68000000002</v>
      </c>
      <c r="J40" s="14">
        <f>-4302.52+5550.04</f>
        <v>1247.5199999999995</v>
      </c>
      <c r="K40" s="14">
        <f>H40+I40-J40</f>
        <v>555249.41</v>
      </c>
      <c r="L40" s="15">
        <f>+F40</f>
        <v>3.657411099230548E-3</v>
      </c>
      <c r="M40" s="163"/>
      <c r="N40" s="155">
        <f t="shared" ref="N40:N49" si="12">+K40-G40</f>
        <v>0</v>
      </c>
      <c r="O40" s="202"/>
      <c r="P40" s="142"/>
      <c r="Q40" s="142"/>
    </row>
    <row r="41" spans="1:19" x14ac:dyDescent="0.2">
      <c r="A41" s="139" t="s">
        <v>20</v>
      </c>
      <c r="B41" s="10">
        <v>0</v>
      </c>
      <c r="C41" s="10">
        <f>981063.54-174602.54</f>
        <v>806461</v>
      </c>
      <c r="D41" s="11">
        <v>0</v>
      </c>
      <c r="E41" s="10">
        <v>0</v>
      </c>
      <c r="F41" s="12">
        <f t="shared" ref="F41:F50" si="13">+E41/C41</f>
        <v>0</v>
      </c>
      <c r="G41" s="10">
        <f>+C41+D41-E41</f>
        <v>806461</v>
      </c>
      <c r="H41" s="13">
        <v>1795340.56</v>
      </c>
      <c r="I41" s="14">
        <v>1162</v>
      </c>
      <c r="J41" s="14">
        <f>272555.03+160187.53+557299</f>
        <v>990041.56</v>
      </c>
      <c r="K41" s="14">
        <f t="shared" ref="K41:K66" si="14">H41+I41-J41</f>
        <v>806461</v>
      </c>
      <c r="L41" s="15">
        <f t="shared" ref="L41:L50" si="15">+F41</f>
        <v>0</v>
      </c>
      <c r="M41" s="163"/>
      <c r="N41" s="62">
        <f>+K41-G41</f>
        <v>0</v>
      </c>
      <c r="O41" s="205"/>
    </row>
    <row r="42" spans="1:19" x14ac:dyDescent="0.2">
      <c r="A42" s="139" t="s">
        <v>21</v>
      </c>
      <c r="B42" s="10">
        <f t="shared" ref="B42:B50" si="16">+C42</f>
        <v>465.82999999998719</v>
      </c>
      <c r="C42" s="10">
        <f>266576.99-80893-185218.16</f>
        <v>465.82999999998719</v>
      </c>
      <c r="D42" s="11">
        <v>0</v>
      </c>
      <c r="E42" s="10">
        <v>0</v>
      </c>
      <c r="F42" s="12">
        <f t="shared" si="13"/>
        <v>0</v>
      </c>
      <c r="G42" s="10">
        <f>+C42+D42-E42</f>
        <v>465.82999999998719</v>
      </c>
      <c r="H42" s="13">
        <v>465.83</v>
      </c>
      <c r="I42" s="14">
        <v>0</v>
      </c>
      <c r="J42" s="14">
        <v>0</v>
      </c>
      <c r="K42" s="14">
        <f t="shared" si="14"/>
        <v>465.83</v>
      </c>
      <c r="L42" s="15">
        <f t="shared" si="15"/>
        <v>0</v>
      </c>
      <c r="M42" s="163"/>
      <c r="N42" s="155">
        <f t="shared" si="12"/>
        <v>1.2789769243681803E-11</v>
      </c>
      <c r="O42" s="183"/>
    </row>
    <row r="43" spans="1:19" x14ac:dyDescent="0.2">
      <c r="A43" s="139" t="s">
        <v>22</v>
      </c>
      <c r="B43" s="10">
        <f t="shared" si="16"/>
        <v>6067.4599999999627</v>
      </c>
      <c r="C43" s="10">
        <f>375412.66-201977-167368.2</f>
        <v>6067.4599999999627</v>
      </c>
      <c r="D43" s="10">
        <v>149.51</v>
      </c>
      <c r="E43" s="10">
        <v>0</v>
      </c>
      <c r="F43" s="12">
        <f t="shared" si="13"/>
        <v>0</v>
      </c>
      <c r="G43" s="10">
        <f t="shared" ref="G43:G48" si="17">+C43+D43-E43</f>
        <v>6216.969999999963</v>
      </c>
      <c r="H43" s="13">
        <v>6216.97</v>
      </c>
      <c r="I43" s="14">
        <v>0</v>
      </c>
      <c r="J43" s="14">
        <v>0</v>
      </c>
      <c r="K43" s="14">
        <f t="shared" si="14"/>
        <v>6216.97</v>
      </c>
      <c r="L43" s="15">
        <f t="shared" si="15"/>
        <v>0</v>
      </c>
      <c r="M43" s="163"/>
      <c r="N43" s="62">
        <f t="shared" si="12"/>
        <v>3.7289282772690058E-11</v>
      </c>
      <c r="O43" s="183"/>
    </row>
    <row r="44" spans="1:19" x14ac:dyDescent="0.2">
      <c r="A44" s="139" t="s">
        <v>23</v>
      </c>
      <c r="B44" s="10">
        <f t="shared" si="16"/>
        <v>17016.04999999993</v>
      </c>
      <c r="C44" s="10">
        <f>1302246.39-788192.61-497037.73</f>
        <v>17016.04999999993</v>
      </c>
      <c r="D44" s="10">
        <v>408.58</v>
      </c>
      <c r="E44" s="10">
        <v>0</v>
      </c>
      <c r="F44" s="12">
        <f t="shared" si="13"/>
        <v>0</v>
      </c>
      <c r="G44" s="10">
        <f t="shared" si="17"/>
        <v>17424.629999999932</v>
      </c>
      <c r="H44" s="13">
        <v>17424.63</v>
      </c>
      <c r="I44" s="14">
        <v>0</v>
      </c>
      <c r="J44" s="14">
        <v>0</v>
      </c>
      <c r="K44" s="14">
        <f t="shared" si="14"/>
        <v>17424.63</v>
      </c>
      <c r="L44" s="15">
        <f t="shared" si="15"/>
        <v>0</v>
      </c>
      <c r="M44" s="163"/>
      <c r="N44" s="155">
        <f t="shared" si="12"/>
        <v>6.9121597334742546E-11</v>
      </c>
      <c r="O44" s="183"/>
    </row>
    <row r="45" spans="1:19" x14ac:dyDescent="0.2">
      <c r="A45" s="139" t="s">
        <v>24</v>
      </c>
      <c r="B45" s="10">
        <f t="shared" si="16"/>
        <v>412246.5499999997</v>
      </c>
      <c r="C45" s="10">
        <f>13636634.35-13212786.17-11601.63</f>
        <v>412246.5499999997</v>
      </c>
      <c r="D45" s="11">
        <v>-459</v>
      </c>
      <c r="E45" s="10">
        <v>0</v>
      </c>
      <c r="F45" s="12">
        <f t="shared" si="13"/>
        <v>0</v>
      </c>
      <c r="G45" s="10">
        <f>+C45+D45-E45</f>
        <v>411787.5499999997</v>
      </c>
      <c r="H45" s="13">
        <v>37530.339999999997</v>
      </c>
      <c r="I45" s="14">
        <v>456237</v>
      </c>
      <c r="J45" s="14">
        <f>52394.42+7312.79+22272.58</f>
        <v>81979.790000000008</v>
      </c>
      <c r="K45" s="14">
        <f t="shared" si="14"/>
        <v>411787.54999999993</v>
      </c>
      <c r="L45" s="15">
        <f t="shared" si="15"/>
        <v>0</v>
      </c>
      <c r="M45" s="163"/>
      <c r="N45" s="62">
        <f t="shared" si="12"/>
        <v>0</v>
      </c>
      <c r="O45" s="183"/>
    </row>
    <row r="46" spans="1:19" x14ac:dyDescent="0.2">
      <c r="A46" s="139" t="s">
        <v>25</v>
      </c>
      <c r="B46" s="10">
        <f t="shared" si="16"/>
        <v>5151.3900000000722</v>
      </c>
      <c r="C46" s="10">
        <f>868753.03-542712.97-320888.67</f>
        <v>5151.3900000000722</v>
      </c>
      <c r="D46" s="10">
        <v>131.31</v>
      </c>
      <c r="E46" s="10">
        <v>0</v>
      </c>
      <c r="F46" s="12">
        <f t="shared" si="13"/>
        <v>0</v>
      </c>
      <c r="G46" s="10">
        <f t="shared" si="17"/>
        <v>5282.7000000000726</v>
      </c>
      <c r="H46" s="13">
        <v>5282.7</v>
      </c>
      <c r="I46" s="14">
        <v>0</v>
      </c>
      <c r="J46" s="14">
        <v>0</v>
      </c>
      <c r="K46" s="14">
        <f t="shared" si="14"/>
        <v>5282.7</v>
      </c>
      <c r="L46" s="15">
        <f t="shared" si="15"/>
        <v>0</v>
      </c>
      <c r="M46" s="163"/>
      <c r="N46" s="155">
        <f t="shared" si="12"/>
        <v>-7.2759576141834259E-11</v>
      </c>
      <c r="O46" s="183"/>
    </row>
    <row r="47" spans="1:19" x14ac:dyDescent="0.2">
      <c r="A47" s="139" t="s">
        <v>27</v>
      </c>
      <c r="B47" s="10">
        <f t="shared" si="16"/>
        <v>3767.3699999999953</v>
      </c>
      <c r="C47" s="10">
        <f>573447.69-569680.32</f>
        <v>3767.3699999999953</v>
      </c>
      <c r="D47" s="11">
        <v>0</v>
      </c>
      <c r="E47" s="10">
        <v>0</v>
      </c>
      <c r="F47" s="12">
        <f t="shared" si="13"/>
        <v>0</v>
      </c>
      <c r="G47" s="10">
        <f t="shared" si="17"/>
        <v>3767.3699999999953</v>
      </c>
      <c r="H47" s="13">
        <v>3767.37</v>
      </c>
      <c r="I47" s="14">
        <v>0</v>
      </c>
      <c r="J47" s="14">
        <v>0</v>
      </c>
      <c r="K47" s="14">
        <f t="shared" si="14"/>
        <v>3767.37</v>
      </c>
      <c r="L47" s="15">
        <f t="shared" si="15"/>
        <v>0</v>
      </c>
      <c r="M47" s="163"/>
      <c r="N47" s="62">
        <f t="shared" si="12"/>
        <v>4.5474735088646412E-12</v>
      </c>
      <c r="O47" s="183"/>
    </row>
    <row r="48" spans="1:19" x14ac:dyDescent="0.2">
      <c r="A48" s="139" t="s">
        <v>28</v>
      </c>
      <c r="B48" s="10">
        <f t="shared" si="16"/>
        <v>542.31999999999971</v>
      </c>
      <c r="C48" s="10">
        <f>36484.65-0-35942.33</f>
        <v>542.31999999999971</v>
      </c>
      <c r="D48" s="11">
        <v>0</v>
      </c>
      <c r="E48" s="10">
        <v>0</v>
      </c>
      <c r="F48" s="12">
        <f t="shared" si="13"/>
        <v>0</v>
      </c>
      <c r="G48" s="10">
        <f t="shared" si="17"/>
        <v>542.31999999999971</v>
      </c>
      <c r="H48" s="13">
        <v>542.32000000000005</v>
      </c>
      <c r="I48" s="14">
        <v>0</v>
      </c>
      <c r="J48" s="14">
        <v>0</v>
      </c>
      <c r="K48" s="14">
        <f t="shared" si="14"/>
        <v>542.32000000000005</v>
      </c>
      <c r="L48" s="15">
        <f t="shared" si="15"/>
        <v>0</v>
      </c>
      <c r="M48" s="163"/>
      <c r="N48" s="155">
        <f t="shared" si="12"/>
        <v>0</v>
      </c>
      <c r="O48" s="183"/>
    </row>
    <row r="49" spans="1:17" x14ac:dyDescent="0.2">
      <c r="A49" s="139" t="s">
        <v>29</v>
      </c>
      <c r="B49" s="10">
        <f>+C49</f>
        <v>489577.01999999862</v>
      </c>
      <c r="C49" s="10">
        <f>25804148.7-21535015.98-3779555.7</f>
        <v>489577.01999999862</v>
      </c>
      <c r="D49" s="45"/>
      <c r="E49" s="10">
        <v>0</v>
      </c>
      <c r="F49" s="12">
        <f t="shared" si="13"/>
        <v>0</v>
      </c>
      <c r="G49" s="10">
        <f>+C49+D49-E49</f>
        <v>489577.01999999862</v>
      </c>
      <c r="H49" s="13">
        <f>2255525.44-1688966.46</f>
        <v>566558.98</v>
      </c>
      <c r="I49" s="14">
        <v>122706.07</v>
      </c>
      <c r="J49" s="14">
        <f>20016.25+99956.62+61086.68+18628.48</f>
        <v>199688.03</v>
      </c>
      <c r="K49" s="14">
        <f>H49+I49-J49</f>
        <v>489577.02</v>
      </c>
      <c r="L49" s="15">
        <f t="shared" si="15"/>
        <v>0</v>
      </c>
      <c r="M49" s="163"/>
      <c r="N49" s="62">
        <f t="shared" si="12"/>
        <v>1.3969838619232178E-9</v>
      </c>
      <c r="O49" s="184"/>
    </row>
    <row r="50" spans="1:17" x14ac:dyDescent="0.2">
      <c r="A50" s="139" t="s">
        <v>30</v>
      </c>
      <c r="B50" s="10">
        <f t="shared" si="16"/>
        <v>193749.02000000025</v>
      </c>
      <c r="C50" s="10">
        <f>19272341-17976826.68-1101765.3</f>
        <v>193749.02000000025</v>
      </c>
      <c r="D50" s="10">
        <v>4227.0200000000004</v>
      </c>
      <c r="E50" s="10">
        <v>0</v>
      </c>
      <c r="F50" s="12">
        <f t="shared" si="13"/>
        <v>0</v>
      </c>
      <c r="G50" s="10">
        <f>+C50+D50-E50</f>
        <v>197976.04000000024</v>
      </c>
      <c r="H50" s="13">
        <v>171700.75</v>
      </c>
      <c r="I50" s="14">
        <v>296402</v>
      </c>
      <c r="J50" s="14">
        <f>26299+244312.48</f>
        <v>270611.48</v>
      </c>
      <c r="K50" s="14">
        <f>H50+I50-J50</f>
        <v>197491.27000000002</v>
      </c>
      <c r="L50" s="15">
        <f t="shared" si="15"/>
        <v>0</v>
      </c>
      <c r="M50" s="163"/>
      <c r="N50" s="155">
        <f>+K50-G50</f>
        <v>-484.77000000022235</v>
      </c>
      <c r="O50" s="185"/>
    </row>
    <row r="51" spans="1:17" s="5" customFormat="1" x14ac:dyDescent="0.2">
      <c r="A51" s="20" t="s">
        <v>33</v>
      </c>
      <c r="B51" s="21">
        <f>SUM(B40:B50)</f>
        <v>1685870.649999999</v>
      </c>
      <c r="C51" s="21">
        <f>SUM(C40:C50)</f>
        <v>2492331.6499999994</v>
      </c>
      <c r="D51" s="21">
        <f>SUM(D40:D50)</f>
        <v>4457.42</v>
      </c>
      <c r="E51" s="21">
        <f>SUM(E40:E50)</f>
        <v>2038.23</v>
      </c>
      <c r="F51" s="22">
        <f>+E51/C51</f>
        <v>8.178004721000917E-4</v>
      </c>
      <c r="G51" s="21">
        <f>SUM(G40:G50)</f>
        <v>2494750.8399999989</v>
      </c>
      <c r="H51" s="21">
        <f>SUM(H40:H50)</f>
        <v>2967054.7</v>
      </c>
      <c r="I51" s="21">
        <f>SUM(I40:I50)</f>
        <v>1070779.75</v>
      </c>
      <c r="J51" s="21">
        <f>SUM(J40:J50)</f>
        <v>1543568.3800000001</v>
      </c>
      <c r="K51" s="21">
        <f>SUM(K40:K50)</f>
        <v>2494266.0700000003</v>
      </c>
      <c r="L51" s="23"/>
      <c r="M51" s="164"/>
      <c r="N51" s="62">
        <f t="shared" ref="N51:N67" si="18">+K51-G51</f>
        <v>-484.76999999862164</v>
      </c>
      <c r="O51" s="204"/>
      <c r="P51" s="143"/>
      <c r="Q51" s="143"/>
    </row>
    <row r="52" spans="1:17" x14ac:dyDescent="0.2">
      <c r="A52" s="139" t="s">
        <v>34</v>
      </c>
      <c r="B52" s="10">
        <v>0</v>
      </c>
      <c r="C52" s="10">
        <v>256006.06</v>
      </c>
      <c r="D52" s="13">
        <v>440.75</v>
      </c>
      <c r="E52" s="10">
        <v>0</v>
      </c>
      <c r="F52" s="12">
        <v>0</v>
      </c>
      <c r="G52" s="10">
        <f>+C52+D52-E52</f>
        <v>256446.81</v>
      </c>
      <c r="H52" s="10">
        <v>238695.02</v>
      </c>
      <c r="I52" s="10">
        <v>30099.8</v>
      </c>
      <c r="J52" s="10">
        <v>12348.01</v>
      </c>
      <c r="K52" s="10">
        <f t="shared" si="14"/>
        <v>256446.81</v>
      </c>
      <c r="L52" s="15"/>
      <c r="M52" s="163"/>
      <c r="N52" s="62">
        <f t="shared" si="18"/>
        <v>0</v>
      </c>
      <c r="O52" s="183"/>
    </row>
    <row r="53" spans="1:17" x14ac:dyDescent="0.2">
      <c r="A53" s="20" t="s">
        <v>35</v>
      </c>
      <c r="B53" s="25">
        <f t="shared" ref="B53:K53" si="19">SUM(B52:B52)</f>
        <v>0</v>
      </c>
      <c r="C53" s="25">
        <f t="shared" si="19"/>
        <v>256006.06</v>
      </c>
      <c r="D53" s="25">
        <f t="shared" si="19"/>
        <v>440.75</v>
      </c>
      <c r="E53" s="25">
        <f t="shared" si="19"/>
        <v>0</v>
      </c>
      <c r="F53" s="25">
        <f t="shared" si="19"/>
        <v>0</v>
      </c>
      <c r="G53" s="25">
        <f t="shared" si="19"/>
        <v>256446.81</v>
      </c>
      <c r="H53" s="25">
        <f t="shared" si="19"/>
        <v>238695.02</v>
      </c>
      <c r="I53" s="25">
        <f t="shared" si="19"/>
        <v>30099.8</v>
      </c>
      <c r="J53" s="25">
        <f t="shared" si="19"/>
        <v>12348.01</v>
      </c>
      <c r="K53" s="25">
        <f t="shared" si="19"/>
        <v>256446.81</v>
      </c>
      <c r="L53" s="27"/>
      <c r="M53" s="163"/>
      <c r="N53" s="62">
        <f t="shared" si="18"/>
        <v>0</v>
      </c>
      <c r="O53" s="183"/>
    </row>
    <row r="54" spans="1:17" x14ac:dyDescent="0.2">
      <c r="A54" s="139" t="s">
        <v>18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0.47</v>
      </c>
      <c r="H54" s="10">
        <v>0.47</v>
      </c>
      <c r="I54" s="10">
        <v>0</v>
      </c>
      <c r="J54" s="10">
        <v>0</v>
      </c>
      <c r="K54" s="10">
        <f t="shared" si="14"/>
        <v>0.47</v>
      </c>
      <c r="L54" s="15"/>
      <c r="M54" s="163"/>
      <c r="N54" s="62">
        <f t="shared" si="18"/>
        <v>0</v>
      </c>
      <c r="O54" s="183"/>
    </row>
    <row r="55" spans="1:17" x14ac:dyDescent="0.2">
      <c r="A55" s="139" t="s">
        <v>29</v>
      </c>
      <c r="B55" s="10">
        <v>0</v>
      </c>
      <c r="C55" s="10">
        <v>0</v>
      </c>
      <c r="D55" s="10">
        <v>0</v>
      </c>
      <c r="E55" s="10">
        <v>0</v>
      </c>
      <c r="F55" s="12">
        <v>0</v>
      </c>
      <c r="G55" s="10">
        <v>17.399999999999999</v>
      </c>
      <c r="H55" s="10">
        <v>17.399999999999999</v>
      </c>
      <c r="I55" s="10"/>
      <c r="J55" s="10">
        <v>0</v>
      </c>
      <c r="K55" s="10">
        <f t="shared" si="14"/>
        <v>17.399999999999999</v>
      </c>
      <c r="L55" s="15"/>
      <c r="M55" s="163"/>
      <c r="N55" s="62">
        <f t="shared" si="18"/>
        <v>0</v>
      </c>
      <c r="O55" s="183"/>
    </row>
    <row r="56" spans="1:17" x14ac:dyDescent="0.2">
      <c r="A56" s="20" t="s">
        <v>37</v>
      </c>
      <c r="B56" s="25">
        <f t="shared" ref="B56:K56" si="20">SUM(B54:B55)</f>
        <v>0</v>
      </c>
      <c r="C56" s="25">
        <f t="shared" si="20"/>
        <v>0</v>
      </c>
      <c r="D56" s="25">
        <f t="shared" si="20"/>
        <v>0</v>
      </c>
      <c r="E56" s="25">
        <f t="shared" si="20"/>
        <v>0</v>
      </c>
      <c r="F56" s="25">
        <f t="shared" si="20"/>
        <v>0</v>
      </c>
      <c r="G56" s="25">
        <f t="shared" si="20"/>
        <v>17.869999999999997</v>
      </c>
      <c r="H56" s="25">
        <f t="shared" si="20"/>
        <v>17.869999999999997</v>
      </c>
      <c r="I56" s="25">
        <f t="shared" si="20"/>
        <v>0</v>
      </c>
      <c r="J56" s="25">
        <f t="shared" si="20"/>
        <v>0</v>
      </c>
      <c r="K56" s="25">
        <f t="shared" si="20"/>
        <v>17.869999999999997</v>
      </c>
      <c r="L56" s="27"/>
      <c r="M56" s="163"/>
      <c r="N56" s="62">
        <f>+K56-G56</f>
        <v>0</v>
      </c>
      <c r="O56" s="183"/>
    </row>
    <row r="57" spans="1:17" x14ac:dyDescent="0.2">
      <c r="A57" s="139" t="s">
        <v>18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1392</v>
      </c>
      <c r="H57" s="10">
        <v>1392</v>
      </c>
      <c r="I57" s="10">
        <v>0</v>
      </c>
      <c r="J57" s="10">
        <v>0</v>
      </c>
      <c r="K57" s="10">
        <f t="shared" si="14"/>
        <v>1392</v>
      </c>
      <c r="L57" s="15"/>
      <c r="M57" s="163"/>
      <c r="N57" s="62">
        <f t="shared" si="18"/>
        <v>0</v>
      </c>
      <c r="O57" s="183"/>
    </row>
    <row r="58" spans="1:17" x14ac:dyDescent="0.2">
      <c r="A58" s="139" t="s">
        <v>20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382.8</v>
      </c>
      <c r="H58" s="10">
        <v>382.8</v>
      </c>
      <c r="I58" s="10">
        <v>0</v>
      </c>
      <c r="J58" s="10">
        <v>0</v>
      </c>
      <c r="K58" s="10">
        <f t="shared" si="14"/>
        <v>382.8</v>
      </c>
      <c r="L58" s="15"/>
      <c r="M58" s="163"/>
      <c r="N58" s="62">
        <f t="shared" si="18"/>
        <v>0</v>
      </c>
      <c r="O58" s="183"/>
    </row>
    <row r="59" spans="1:17" x14ac:dyDescent="0.2">
      <c r="A59" s="139" t="s">
        <v>29</v>
      </c>
      <c r="B59" s="10">
        <v>0</v>
      </c>
      <c r="C59" s="10">
        <v>0</v>
      </c>
      <c r="D59" s="10"/>
      <c r="E59" s="10">
        <v>0</v>
      </c>
      <c r="F59" s="12">
        <v>0</v>
      </c>
      <c r="G59" s="10">
        <v>242057.67</v>
      </c>
      <c r="H59" s="10">
        <v>242057.67</v>
      </c>
      <c r="I59" s="10">
        <v>0</v>
      </c>
      <c r="J59" s="10">
        <v>0</v>
      </c>
      <c r="K59" s="10">
        <f t="shared" si="14"/>
        <v>242057.67</v>
      </c>
      <c r="L59" s="15"/>
      <c r="M59" s="163"/>
      <c r="N59" s="62">
        <f t="shared" si="18"/>
        <v>0</v>
      </c>
      <c r="O59" s="183"/>
    </row>
    <row r="60" spans="1:17" x14ac:dyDescent="0.2">
      <c r="A60" s="20" t="s">
        <v>38</v>
      </c>
      <c r="B60" s="25">
        <f t="shared" ref="B60:K60" si="21">SUM(B57:B59)</f>
        <v>0</v>
      </c>
      <c r="C60" s="25">
        <f t="shared" si="21"/>
        <v>0</v>
      </c>
      <c r="D60" s="25">
        <f t="shared" si="21"/>
        <v>0</v>
      </c>
      <c r="E60" s="25">
        <f t="shared" si="21"/>
        <v>0</v>
      </c>
      <c r="F60" s="25">
        <f t="shared" si="21"/>
        <v>0</v>
      </c>
      <c r="G60" s="25">
        <f t="shared" si="21"/>
        <v>243832.47</v>
      </c>
      <c r="H60" s="25">
        <f t="shared" si="21"/>
        <v>243832.47</v>
      </c>
      <c r="I60" s="25">
        <f t="shared" si="21"/>
        <v>0</v>
      </c>
      <c r="J60" s="25">
        <f t="shared" si="21"/>
        <v>0</v>
      </c>
      <c r="K60" s="25">
        <f t="shared" si="21"/>
        <v>243832.47</v>
      </c>
      <c r="L60" s="27"/>
      <c r="M60" s="163"/>
      <c r="N60" s="62">
        <f t="shared" si="18"/>
        <v>0</v>
      </c>
      <c r="O60" s="183"/>
    </row>
    <row r="61" spans="1:17" x14ac:dyDescent="0.2">
      <c r="A61" s="139" t="s">
        <v>36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-10</v>
      </c>
      <c r="H61" s="10">
        <v>-10</v>
      </c>
      <c r="I61" s="10">
        <v>0</v>
      </c>
      <c r="J61" s="10">
        <v>0</v>
      </c>
      <c r="K61" s="10">
        <f t="shared" si="14"/>
        <v>-10</v>
      </c>
      <c r="L61" s="15"/>
      <c r="M61" s="163"/>
      <c r="N61" s="62">
        <f t="shared" si="18"/>
        <v>0</v>
      </c>
      <c r="O61" s="183"/>
    </row>
    <row r="62" spans="1:17" x14ac:dyDescent="0.2">
      <c r="A62" s="139" t="s">
        <v>20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219.47</v>
      </c>
      <c r="H62" s="10">
        <v>219.47</v>
      </c>
      <c r="I62" s="10">
        <v>0</v>
      </c>
      <c r="J62" s="10">
        <v>0</v>
      </c>
      <c r="K62" s="10">
        <f t="shared" si="14"/>
        <v>219.47</v>
      </c>
      <c r="L62" s="15"/>
      <c r="M62" s="163"/>
      <c r="N62" s="62">
        <f t="shared" si="18"/>
        <v>0</v>
      </c>
      <c r="O62" s="183"/>
    </row>
    <row r="63" spans="1:17" x14ac:dyDescent="0.2">
      <c r="A63" s="139" t="s">
        <v>24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1150.8900000000001</v>
      </c>
      <c r="H63" s="10">
        <v>42631.81</v>
      </c>
      <c r="I63" s="10">
        <v>412765.08</v>
      </c>
      <c r="J63" s="10">
        <v>454246</v>
      </c>
      <c r="K63" s="10">
        <f t="shared" si="14"/>
        <v>1150.890000000014</v>
      </c>
      <c r="L63" s="15"/>
      <c r="M63" s="163"/>
      <c r="N63" s="62">
        <f t="shared" si="18"/>
        <v>1.3869794202037156E-11</v>
      </c>
      <c r="O63" s="183"/>
    </row>
    <row r="64" spans="1:17" x14ac:dyDescent="0.2">
      <c r="A64" s="139" t="s">
        <v>25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719.87</v>
      </c>
      <c r="H64" s="10">
        <v>719.87</v>
      </c>
      <c r="I64" s="10">
        <v>0</v>
      </c>
      <c r="J64" s="10">
        <v>0</v>
      </c>
      <c r="K64" s="10">
        <f t="shared" si="14"/>
        <v>719.87</v>
      </c>
      <c r="L64" s="15"/>
      <c r="M64" s="163"/>
      <c r="N64" s="62">
        <f t="shared" si="18"/>
        <v>0</v>
      </c>
      <c r="O64" s="183"/>
    </row>
    <row r="65" spans="1:15" x14ac:dyDescent="0.2">
      <c r="A65" s="139" t="s">
        <v>27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267528.84000000003</v>
      </c>
      <c r="H65" s="10">
        <v>0</v>
      </c>
      <c r="I65" s="10">
        <v>267528.84000000003</v>
      </c>
      <c r="J65" s="10">
        <v>0</v>
      </c>
      <c r="K65" s="10">
        <f t="shared" si="14"/>
        <v>267528.84000000003</v>
      </c>
      <c r="L65" s="15"/>
      <c r="M65" s="163"/>
      <c r="N65" s="62">
        <f t="shared" si="18"/>
        <v>0</v>
      </c>
      <c r="O65" s="183"/>
    </row>
    <row r="66" spans="1:15" x14ac:dyDescent="0.2">
      <c r="A66" s="139" t="s">
        <v>29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236767.4</v>
      </c>
      <c r="H66" s="10">
        <v>243581.68</v>
      </c>
      <c r="I66" s="10">
        <v>0</v>
      </c>
      <c r="J66" s="10">
        <f>2827.74+3986.54</f>
        <v>6814.28</v>
      </c>
      <c r="K66" s="10">
        <f t="shared" si="14"/>
        <v>236767.4</v>
      </c>
      <c r="L66" s="15"/>
      <c r="M66" s="163"/>
      <c r="N66" s="62">
        <f t="shared" si="18"/>
        <v>0</v>
      </c>
      <c r="O66" s="183"/>
    </row>
    <row r="67" spans="1:15" x14ac:dyDescent="0.2">
      <c r="A67" s="20" t="s">
        <v>39</v>
      </c>
      <c r="B67" s="25">
        <f t="shared" ref="B67:K67" si="22">SUM(B61:B66)</f>
        <v>0</v>
      </c>
      <c r="C67" s="25">
        <f t="shared" si="22"/>
        <v>0</v>
      </c>
      <c r="D67" s="25">
        <f t="shared" si="22"/>
        <v>0</v>
      </c>
      <c r="E67" s="25">
        <f t="shared" si="22"/>
        <v>0</v>
      </c>
      <c r="F67" s="25">
        <f t="shared" si="22"/>
        <v>0</v>
      </c>
      <c r="G67" s="25">
        <f t="shared" si="22"/>
        <v>506376.47</v>
      </c>
      <c r="H67" s="25">
        <f t="shared" si="22"/>
        <v>287142.83</v>
      </c>
      <c r="I67" s="25">
        <f t="shared" si="22"/>
        <v>680293.92</v>
      </c>
      <c r="J67" s="25">
        <f t="shared" si="22"/>
        <v>461060.28</v>
      </c>
      <c r="K67" s="25">
        <f t="shared" si="22"/>
        <v>506376.47000000009</v>
      </c>
      <c r="L67" s="27"/>
      <c r="M67" s="163"/>
      <c r="N67" s="62">
        <f t="shared" si="18"/>
        <v>0</v>
      </c>
      <c r="O67" s="183"/>
    </row>
    <row r="68" spans="1:15" x14ac:dyDescent="0.25">
      <c r="A68" s="20" t="s">
        <v>44</v>
      </c>
      <c r="B68" s="25">
        <f t="shared" ref="B68:K68" si="23">+B39+B51+B53+B56+B60+B67</f>
        <v>104936112.92999999</v>
      </c>
      <c r="C68" s="25">
        <f t="shared" si="23"/>
        <v>5165475.4700000016</v>
      </c>
      <c r="D68" s="25">
        <f t="shared" si="23"/>
        <v>191349.32</v>
      </c>
      <c r="E68" s="25">
        <f t="shared" si="23"/>
        <v>1511681.33</v>
      </c>
      <c r="F68" s="25">
        <f t="shared" si="23"/>
        <v>5.2672924140970103</v>
      </c>
      <c r="G68" s="25">
        <f t="shared" si="23"/>
        <v>4595370.2700000014</v>
      </c>
      <c r="H68" s="25">
        <f t="shared" si="23"/>
        <v>6297865.4399999995</v>
      </c>
      <c r="I68" s="25">
        <f t="shared" si="23"/>
        <v>2937683.26</v>
      </c>
      <c r="J68" s="25">
        <f t="shared" si="23"/>
        <v>4640663.2</v>
      </c>
      <c r="K68" s="25">
        <f t="shared" si="23"/>
        <v>4594885.5</v>
      </c>
      <c r="L68" s="27"/>
      <c r="M68" s="163"/>
      <c r="O68" s="186"/>
    </row>
    <row r="69" spans="1:15" x14ac:dyDescent="0.25">
      <c r="A69" s="28"/>
      <c r="B69" s="29"/>
      <c r="C69" s="29"/>
      <c r="D69" s="29"/>
      <c r="E69" s="28"/>
      <c r="F69" s="28"/>
      <c r="G69" s="28"/>
      <c r="H69" s="28"/>
      <c r="I69" s="28"/>
      <c r="J69" s="28"/>
      <c r="K69" s="28"/>
      <c r="L69" s="30"/>
      <c r="M69" s="30"/>
      <c r="O69" s="186"/>
    </row>
    <row r="70" spans="1:15" x14ac:dyDescent="0.25">
      <c r="A70" s="140"/>
      <c r="B70" s="19"/>
      <c r="C70" s="333" t="s">
        <v>45</v>
      </c>
      <c r="D70" s="333"/>
      <c r="E70" s="333"/>
      <c r="F70" s="333"/>
      <c r="G70" s="333"/>
      <c r="H70" s="333"/>
      <c r="I70" s="333"/>
      <c r="J70" s="19"/>
      <c r="K70" s="19"/>
      <c r="L70" s="19"/>
      <c r="M70" s="19"/>
      <c r="O70" s="186"/>
    </row>
    <row r="71" spans="1:15" x14ac:dyDescent="0.25">
      <c r="A71" s="140"/>
      <c r="B71" s="19"/>
      <c r="C71" s="206"/>
      <c r="D71" s="206"/>
      <c r="E71" s="206"/>
      <c r="F71" s="206"/>
      <c r="G71" s="206"/>
      <c r="H71" s="206"/>
      <c r="I71" s="206"/>
      <c r="J71" s="19"/>
      <c r="K71" s="19"/>
      <c r="L71" s="19"/>
      <c r="M71" s="19"/>
      <c r="O71" s="186"/>
    </row>
    <row r="72" spans="1:15" x14ac:dyDescent="0.25">
      <c r="A72" s="140"/>
      <c r="B72" s="325" t="s">
        <v>46</v>
      </c>
      <c r="C72" s="325"/>
      <c r="D72" s="326" t="s">
        <v>47</v>
      </c>
      <c r="E72" s="327"/>
      <c r="F72" s="328"/>
      <c r="G72" s="320" t="s">
        <v>48</v>
      </c>
      <c r="H72" s="320"/>
      <c r="I72" s="208" t="s">
        <v>10</v>
      </c>
      <c r="J72" s="19"/>
      <c r="K72" s="19"/>
      <c r="L72" s="19"/>
      <c r="M72" s="19"/>
      <c r="O72" s="186"/>
    </row>
    <row r="73" spans="1:15" x14ac:dyDescent="0.25">
      <c r="A73" s="140"/>
      <c r="B73" s="329" t="s">
        <v>49</v>
      </c>
      <c r="C73" s="329"/>
      <c r="D73" s="330">
        <v>9000000</v>
      </c>
      <c r="E73" s="331"/>
      <c r="F73" s="332">
        <v>0</v>
      </c>
      <c r="G73" s="330">
        <v>4747791.18</v>
      </c>
      <c r="H73" s="332"/>
      <c r="I73" s="33">
        <f>G73/D73</f>
        <v>0.52753235333333326</v>
      </c>
      <c r="J73" s="19"/>
      <c r="K73" s="19"/>
      <c r="L73" s="19"/>
      <c r="M73" s="19"/>
      <c r="O73" s="186"/>
    </row>
    <row r="74" spans="1:15" x14ac:dyDescent="0.25">
      <c r="A74" s="140"/>
      <c r="B74" s="320"/>
      <c r="C74" s="320"/>
      <c r="D74" s="321"/>
      <c r="E74" s="322"/>
      <c r="F74" s="323"/>
      <c r="G74" s="324"/>
      <c r="H74" s="324"/>
      <c r="I74" s="209"/>
      <c r="J74" s="19"/>
      <c r="K74" s="19"/>
      <c r="L74" s="19"/>
      <c r="M74" s="19"/>
      <c r="O74" s="186"/>
    </row>
    <row r="75" spans="1:15" x14ac:dyDescent="0.25">
      <c r="A75" s="140"/>
      <c r="B75" s="320"/>
      <c r="C75" s="320"/>
      <c r="D75" s="321"/>
      <c r="E75" s="322"/>
      <c r="F75" s="323"/>
      <c r="G75" s="324"/>
      <c r="H75" s="324"/>
      <c r="I75" s="209"/>
      <c r="J75" s="19"/>
      <c r="K75" s="19"/>
      <c r="L75" s="19"/>
      <c r="M75" s="19"/>
      <c r="O75" s="186"/>
    </row>
    <row r="76" spans="1:15" x14ac:dyDescent="0.25">
      <c r="A76" s="140"/>
      <c r="B76" s="320"/>
      <c r="C76" s="320"/>
      <c r="D76" s="321"/>
      <c r="E76" s="322"/>
      <c r="F76" s="323"/>
      <c r="G76" s="324"/>
      <c r="H76" s="324"/>
      <c r="I76" s="209"/>
      <c r="J76" s="19"/>
      <c r="K76" s="19"/>
      <c r="L76" s="19"/>
      <c r="M76" s="19"/>
      <c r="O76" s="186"/>
    </row>
    <row r="77" spans="1:15" x14ac:dyDescent="0.25">
      <c r="A77" s="35" t="s">
        <v>50</v>
      </c>
      <c r="B77" s="36"/>
      <c r="C77" s="36"/>
      <c r="D77" s="36"/>
      <c r="E77" s="36"/>
      <c r="F77" s="36"/>
      <c r="G77" s="37"/>
      <c r="H77" s="37"/>
      <c r="I77" s="38"/>
      <c r="J77" s="19"/>
      <c r="K77" s="19"/>
      <c r="L77" s="19"/>
      <c r="M77" s="19"/>
      <c r="O77" s="186"/>
    </row>
    <row r="78" spans="1:15" x14ac:dyDescent="0.25">
      <c r="O78" s="186"/>
    </row>
    <row r="79" spans="1:15" x14ac:dyDescent="0.25">
      <c r="O79" s="186"/>
    </row>
    <row r="80" spans="1:15" x14ac:dyDescent="0.25">
      <c r="C80" s="342" t="s">
        <v>125</v>
      </c>
      <c r="D80" s="342"/>
      <c r="I80" s="342" t="s">
        <v>128</v>
      </c>
      <c r="J80" s="342"/>
      <c r="O80" s="186"/>
    </row>
    <row r="81" spans="3:15" x14ac:dyDescent="0.25">
      <c r="O81" s="186"/>
    </row>
    <row r="82" spans="3:15" x14ac:dyDescent="0.25">
      <c r="O82" s="186"/>
    </row>
    <row r="83" spans="3:15" x14ac:dyDescent="0.25">
      <c r="C83" s="342" t="s">
        <v>126</v>
      </c>
      <c r="D83" s="342"/>
      <c r="I83" s="342" t="s">
        <v>129</v>
      </c>
      <c r="J83" s="342"/>
      <c r="O83" s="186"/>
    </row>
    <row r="84" spans="3:15" x14ac:dyDescent="0.25">
      <c r="C84" s="342" t="s">
        <v>127</v>
      </c>
      <c r="D84" s="342"/>
      <c r="I84" s="342" t="s">
        <v>130</v>
      </c>
      <c r="J84" s="342"/>
      <c r="O84" s="186"/>
    </row>
    <row r="85" spans="3:15" x14ac:dyDescent="0.25">
      <c r="O85" s="186"/>
    </row>
    <row r="86" spans="3:15" x14ac:dyDescent="0.25">
      <c r="O86" s="186"/>
    </row>
    <row r="87" spans="3:15" x14ac:dyDescent="0.25">
      <c r="O87" s="186"/>
    </row>
    <row r="88" spans="3:15" x14ac:dyDescent="0.25">
      <c r="O88" s="186"/>
    </row>
    <row r="89" spans="3:15" x14ac:dyDescent="0.25">
      <c r="O89" s="186"/>
    </row>
    <row r="90" spans="3:15" x14ac:dyDescent="0.25">
      <c r="O90" s="186"/>
    </row>
    <row r="91" spans="3:15" x14ac:dyDescent="0.25">
      <c r="O91" s="186"/>
    </row>
    <row r="92" spans="3:15" x14ac:dyDescent="0.25">
      <c r="O92" s="186"/>
    </row>
    <row r="93" spans="3:15" x14ac:dyDescent="0.25">
      <c r="O93" s="186"/>
    </row>
    <row r="94" spans="3:15" x14ac:dyDescent="0.25">
      <c r="O94" s="186"/>
    </row>
    <row r="95" spans="3:15" x14ac:dyDescent="0.25">
      <c r="O95" s="186"/>
    </row>
    <row r="96" spans="3:15" x14ac:dyDescent="0.25">
      <c r="O96" s="186"/>
    </row>
    <row r="97" spans="15:15" x14ac:dyDescent="0.25">
      <c r="O97" s="186"/>
    </row>
    <row r="98" spans="15:15" x14ac:dyDescent="0.25">
      <c r="O98" s="186"/>
    </row>
    <row r="99" spans="15:15" x14ac:dyDescent="0.25">
      <c r="O99" s="186"/>
    </row>
    <row r="100" spans="15:15" x14ac:dyDescent="0.25">
      <c r="O100" s="186"/>
    </row>
    <row r="101" spans="15:15" x14ac:dyDescent="0.25">
      <c r="O101" s="186"/>
    </row>
    <row r="102" spans="15:15" x14ac:dyDescent="0.25">
      <c r="O102" s="186"/>
    </row>
    <row r="103" spans="15:15" x14ac:dyDescent="0.25">
      <c r="O103" s="186"/>
    </row>
    <row r="104" spans="15:15" x14ac:dyDescent="0.25">
      <c r="O104" s="186"/>
    </row>
    <row r="105" spans="15:15" x14ac:dyDescent="0.25">
      <c r="O105" s="186"/>
    </row>
    <row r="106" spans="15:15" x14ac:dyDescent="0.25">
      <c r="O106" s="186"/>
    </row>
    <row r="107" spans="15:15" x14ac:dyDescent="0.25">
      <c r="O107" s="186"/>
    </row>
    <row r="108" spans="15:15" x14ac:dyDescent="0.25">
      <c r="O108" s="186"/>
    </row>
    <row r="109" spans="15:15" x14ac:dyDescent="0.25">
      <c r="O109" s="186"/>
    </row>
    <row r="110" spans="15:15" x14ac:dyDescent="0.25">
      <c r="O110" s="186"/>
    </row>
    <row r="111" spans="15:15" x14ac:dyDescent="0.25">
      <c r="O111" s="186"/>
    </row>
    <row r="112" spans="15:15" x14ac:dyDescent="0.25">
      <c r="O112" s="186"/>
    </row>
    <row r="113" spans="15:15" x14ac:dyDescent="0.25">
      <c r="O113" s="186"/>
    </row>
    <row r="114" spans="15:15" x14ac:dyDescent="0.25">
      <c r="O114" s="186"/>
    </row>
    <row r="115" spans="15:15" x14ac:dyDescent="0.25">
      <c r="O115" s="186"/>
    </row>
    <row r="116" spans="15:15" x14ac:dyDescent="0.25">
      <c r="O116" s="186"/>
    </row>
    <row r="117" spans="15:15" x14ac:dyDescent="0.25">
      <c r="O117" s="186"/>
    </row>
    <row r="118" spans="15:15" x14ac:dyDescent="0.25">
      <c r="O118" s="186"/>
    </row>
    <row r="119" spans="15:15" x14ac:dyDescent="0.25">
      <c r="O119" s="186"/>
    </row>
    <row r="120" spans="15:15" x14ac:dyDescent="0.25">
      <c r="O120" s="186"/>
    </row>
    <row r="121" spans="15:15" x14ac:dyDescent="0.25">
      <c r="O121" s="186"/>
    </row>
    <row r="122" spans="15:15" x14ac:dyDescent="0.25">
      <c r="O122" s="186"/>
    </row>
    <row r="123" spans="15:15" x14ac:dyDescent="0.25">
      <c r="O123" s="186"/>
    </row>
    <row r="124" spans="15:15" x14ac:dyDescent="0.25">
      <c r="O124" s="186"/>
    </row>
    <row r="125" spans="15:15" x14ac:dyDescent="0.25">
      <c r="O125" s="186"/>
    </row>
    <row r="126" spans="15:15" x14ac:dyDescent="0.25">
      <c r="O126" s="186"/>
    </row>
    <row r="127" spans="15:15" x14ac:dyDescent="0.25">
      <c r="O127" s="186"/>
    </row>
    <row r="128" spans="15:15" x14ac:dyDescent="0.25">
      <c r="O128" s="186"/>
    </row>
    <row r="129" spans="15:15" x14ac:dyDescent="0.25">
      <c r="O129" s="186"/>
    </row>
    <row r="130" spans="15:15" x14ac:dyDescent="0.25">
      <c r="O130" s="186"/>
    </row>
    <row r="131" spans="15:15" x14ac:dyDescent="0.25">
      <c r="O131" s="186"/>
    </row>
    <row r="132" spans="15:15" x14ac:dyDescent="0.25">
      <c r="O132" s="186"/>
    </row>
    <row r="133" spans="15:15" x14ac:dyDescent="0.25">
      <c r="O133" s="186"/>
    </row>
    <row r="134" spans="15:15" x14ac:dyDescent="0.25">
      <c r="O134" s="186"/>
    </row>
    <row r="135" spans="15:15" x14ac:dyDescent="0.25">
      <c r="O135" s="186"/>
    </row>
    <row r="136" spans="15:15" x14ac:dyDescent="0.25">
      <c r="O136" s="186"/>
    </row>
    <row r="137" spans="15:15" x14ac:dyDescent="0.25">
      <c r="O137" s="186"/>
    </row>
    <row r="138" spans="15:15" x14ac:dyDescent="0.25">
      <c r="O138" s="186"/>
    </row>
    <row r="139" spans="15:15" x14ac:dyDescent="0.25">
      <c r="O139" s="186"/>
    </row>
    <row r="140" spans="15:15" x14ac:dyDescent="0.25">
      <c r="O140" s="186"/>
    </row>
    <row r="141" spans="15:15" x14ac:dyDescent="0.25">
      <c r="O141" s="186"/>
    </row>
    <row r="142" spans="15:15" x14ac:dyDescent="0.25">
      <c r="O142" s="186"/>
    </row>
    <row r="143" spans="15:15" x14ac:dyDescent="0.25">
      <c r="O143" s="186"/>
    </row>
    <row r="144" spans="15:15" x14ac:dyDescent="0.25">
      <c r="O144" s="186"/>
    </row>
    <row r="145" spans="15:15" x14ac:dyDescent="0.25">
      <c r="O145" s="186"/>
    </row>
    <row r="146" spans="15:15" x14ac:dyDescent="0.25">
      <c r="O146" s="186"/>
    </row>
    <row r="147" spans="15:15" x14ac:dyDescent="0.25">
      <c r="O147" s="186"/>
    </row>
    <row r="148" spans="15:15" x14ac:dyDescent="0.25">
      <c r="O148" s="186"/>
    </row>
    <row r="149" spans="15:15" x14ac:dyDescent="0.25">
      <c r="O149" s="186"/>
    </row>
    <row r="150" spans="15:15" x14ac:dyDescent="0.25">
      <c r="O150" s="186"/>
    </row>
    <row r="151" spans="15:15" x14ac:dyDescent="0.25">
      <c r="O151" s="186"/>
    </row>
    <row r="152" spans="15:15" x14ac:dyDescent="0.25">
      <c r="O152" s="186"/>
    </row>
    <row r="153" spans="15:15" x14ac:dyDescent="0.25">
      <c r="O153" s="186"/>
    </row>
    <row r="154" spans="15:15" x14ac:dyDescent="0.25">
      <c r="O154" s="186"/>
    </row>
    <row r="155" spans="15:15" x14ac:dyDescent="0.25">
      <c r="O155" s="186"/>
    </row>
    <row r="156" spans="15:15" x14ac:dyDescent="0.25">
      <c r="O156" s="186"/>
    </row>
    <row r="157" spans="15:15" x14ac:dyDescent="0.25">
      <c r="O157" s="186"/>
    </row>
    <row r="158" spans="15:15" x14ac:dyDescent="0.25">
      <c r="O158" s="186"/>
    </row>
    <row r="159" spans="15:15" x14ac:dyDescent="0.25">
      <c r="O159" s="186"/>
    </row>
    <row r="160" spans="15:15" x14ac:dyDescent="0.25">
      <c r="O160" s="186"/>
    </row>
    <row r="161" spans="15:15" x14ac:dyDescent="0.25">
      <c r="O161" s="186"/>
    </row>
    <row r="162" spans="15:15" x14ac:dyDescent="0.25">
      <c r="O162" s="186"/>
    </row>
    <row r="163" spans="15:15" x14ac:dyDescent="0.25">
      <c r="O163" s="186"/>
    </row>
    <row r="164" spans="15:15" x14ac:dyDescent="0.25">
      <c r="O164" s="186"/>
    </row>
    <row r="165" spans="15:15" x14ac:dyDescent="0.25">
      <c r="O165" s="186"/>
    </row>
    <row r="166" spans="15:15" x14ac:dyDescent="0.25">
      <c r="O166" s="186"/>
    </row>
    <row r="167" spans="15:15" x14ac:dyDescent="0.25">
      <c r="O167" s="186"/>
    </row>
    <row r="168" spans="15:15" x14ac:dyDescent="0.25">
      <c r="O168" s="186"/>
    </row>
    <row r="169" spans="15:15" x14ac:dyDescent="0.25">
      <c r="O169" s="186"/>
    </row>
    <row r="170" spans="15:15" x14ac:dyDescent="0.25">
      <c r="O170" s="186"/>
    </row>
    <row r="171" spans="15:15" x14ac:dyDescent="0.25">
      <c r="O171" s="186"/>
    </row>
    <row r="172" spans="15:15" x14ac:dyDescent="0.25">
      <c r="O172" s="186"/>
    </row>
    <row r="173" spans="15:15" x14ac:dyDescent="0.25">
      <c r="O173" s="186"/>
    </row>
    <row r="174" spans="15:15" x14ac:dyDescent="0.25">
      <c r="O174" s="186"/>
    </row>
    <row r="175" spans="15:15" x14ac:dyDescent="0.25">
      <c r="O175" s="186"/>
    </row>
    <row r="176" spans="15:15" x14ac:dyDescent="0.25">
      <c r="O176" s="186"/>
    </row>
    <row r="177" spans="15:15" x14ac:dyDescent="0.25">
      <c r="O177" s="186"/>
    </row>
    <row r="178" spans="15:15" x14ac:dyDescent="0.25">
      <c r="O178" s="186"/>
    </row>
    <row r="179" spans="15:15" x14ac:dyDescent="0.25">
      <c r="O179" s="186"/>
    </row>
    <row r="180" spans="15:15" x14ac:dyDescent="0.25">
      <c r="O180" s="186"/>
    </row>
    <row r="181" spans="15:15" x14ac:dyDescent="0.25">
      <c r="O181" s="186"/>
    </row>
    <row r="182" spans="15:15" x14ac:dyDescent="0.25">
      <c r="O182" s="186"/>
    </row>
    <row r="183" spans="15:15" x14ac:dyDescent="0.25">
      <c r="O183" s="186"/>
    </row>
    <row r="184" spans="15:15" x14ac:dyDescent="0.25">
      <c r="O184" s="186"/>
    </row>
    <row r="185" spans="15:15" x14ac:dyDescent="0.25">
      <c r="O185" s="186"/>
    </row>
    <row r="186" spans="15:15" x14ac:dyDescent="0.25">
      <c r="O186" s="186"/>
    </row>
    <row r="187" spans="15:15" x14ac:dyDescent="0.25">
      <c r="O187" s="186"/>
    </row>
    <row r="188" spans="15:15" x14ac:dyDescent="0.25">
      <c r="O188" s="186"/>
    </row>
    <row r="189" spans="15:15" x14ac:dyDescent="0.25">
      <c r="O189" s="186"/>
    </row>
    <row r="190" spans="15:15" x14ac:dyDescent="0.25">
      <c r="O190" s="186"/>
    </row>
    <row r="191" spans="15:15" x14ac:dyDescent="0.25">
      <c r="O191" s="186"/>
    </row>
    <row r="192" spans="15:15" x14ac:dyDescent="0.25">
      <c r="O192" s="186"/>
    </row>
    <row r="193" spans="15:15" x14ac:dyDescent="0.25">
      <c r="O193" s="186"/>
    </row>
    <row r="194" spans="15:15" x14ac:dyDescent="0.25">
      <c r="O194" s="186"/>
    </row>
    <row r="195" spans="15:15" x14ac:dyDescent="0.25">
      <c r="O195" s="186"/>
    </row>
    <row r="196" spans="15:15" x14ac:dyDescent="0.25">
      <c r="O196" s="186"/>
    </row>
    <row r="197" spans="15:15" x14ac:dyDescent="0.25">
      <c r="O197" s="186"/>
    </row>
    <row r="198" spans="15:15" x14ac:dyDescent="0.25">
      <c r="O198" s="186"/>
    </row>
    <row r="199" spans="15:15" x14ac:dyDescent="0.25">
      <c r="O199" s="186"/>
    </row>
    <row r="200" spans="15:15" x14ac:dyDescent="0.25">
      <c r="O200" s="186"/>
    </row>
    <row r="201" spans="15:15" x14ac:dyDescent="0.25">
      <c r="O201" s="186"/>
    </row>
    <row r="202" spans="15:15" x14ac:dyDescent="0.25">
      <c r="O202" s="186"/>
    </row>
    <row r="203" spans="15:15" x14ac:dyDescent="0.25">
      <c r="O203" s="186"/>
    </row>
    <row r="204" spans="15:15" x14ac:dyDescent="0.25">
      <c r="O204" s="186"/>
    </row>
    <row r="205" spans="15:15" x14ac:dyDescent="0.25">
      <c r="O205" s="186"/>
    </row>
    <row r="206" spans="15:15" x14ac:dyDescent="0.25">
      <c r="O206" s="186"/>
    </row>
    <row r="207" spans="15:15" x14ac:dyDescent="0.25">
      <c r="O207" s="186"/>
    </row>
    <row r="208" spans="15:15" x14ac:dyDescent="0.25">
      <c r="O208" s="186"/>
    </row>
    <row r="209" spans="15:15" x14ac:dyDescent="0.25">
      <c r="O209" s="186"/>
    </row>
    <row r="210" spans="15:15" x14ac:dyDescent="0.25">
      <c r="O210" s="186"/>
    </row>
    <row r="211" spans="15:15" x14ac:dyDescent="0.25">
      <c r="O211" s="186"/>
    </row>
    <row r="212" spans="15:15" x14ac:dyDescent="0.25">
      <c r="O212" s="186"/>
    </row>
    <row r="213" spans="15:15" x14ac:dyDescent="0.25">
      <c r="O213" s="186"/>
    </row>
    <row r="214" spans="15:15" x14ac:dyDescent="0.25">
      <c r="O214" s="186"/>
    </row>
    <row r="215" spans="15:15" x14ac:dyDescent="0.25">
      <c r="O215" s="186"/>
    </row>
    <row r="216" spans="15:15" x14ac:dyDescent="0.25">
      <c r="O216" s="186"/>
    </row>
    <row r="217" spans="15:15" x14ac:dyDescent="0.25">
      <c r="O217" s="186"/>
    </row>
    <row r="218" spans="15:15" x14ac:dyDescent="0.25">
      <c r="O218" s="186"/>
    </row>
    <row r="219" spans="15:15" x14ac:dyDescent="0.25">
      <c r="O219" s="186"/>
    </row>
    <row r="220" spans="15:15" x14ac:dyDescent="0.25">
      <c r="O220" s="186"/>
    </row>
    <row r="221" spans="15:15" x14ac:dyDescent="0.25">
      <c r="O221" s="186"/>
    </row>
    <row r="222" spans="15:15" x14ac:dyDescent="0.25">
      <c r="O222" s="186"/>
    </row>
    <row r="223" spans="15:15" x14ac:dyDescent="0.25">
      <c r="O223" s="186"/>
    </row>
    <row r="224" spans="15:15" x14ac:dyDescent="0.25">
      <c r="O224" s="186"/>
    </row>
    <row r="225" spans="15:15" x14ac:dyDescent="0.25">
      <c r="O225" s="186"/>
    </row>
    <row r="226" spans="15:15" x14ac:dyDescent="0.25">
      <c r="O226" s="186"/>
    </row>
    <row r="227" spans="15:15" x14ac:dyDescent="0.25">
      <c r="O227" s="186"/>
    </row>
    <row r="228" spans="15:15" x14ac:dyDescent="0.25">
      <c r="O228" s="186"/>
    </row>
    <row r="229" spans="15:15" x14ac:dyDescent="0.25">
      <c r="O229" s="186"/>
    </row>
    <row r="230" spans="15:15" x14ac:dyDescent="0.25">
      <c r="O230" s="186"/>
    </row>
    <row r="231" spans="15:15" x14ac:dyDescent="0.25">
      <c r="O231" s="186"/>
    </row>
    <row r="232" spans="15:15" x14ac:dyDescent="0.25">
      <c r="O232" s="186"/>
    </row>
    <row r="233" spans="15:15" x14ac:dyDescent="0.25">
      <c r="O233" s="186"/>
    </row>
    <row r="234" spans="15:15" x14ac:dyDescent="0.25">
      <c r="O234" s="186"/>
    </row>
    <row r="235" spans="15:15" x14ac:dyDescent="0.25">
      <c r="O235" s="186"/>
    </row>
    <row r="236" spans="15:15" x14ac:dyDescent="0.25">
      <c r="O236" s="186"/>
    </row>
    <row r="237" spans="15:15" x14ac:dyDescent="0.25">
      <c r="O237" s="186"/>
    </row>
    <row r="238" spans="15:15" x14ac:dyDescent="0.25">
      <c r="O238" s="186"/>
    </row>
    <row r="239" spans="15:15" x14ac:dyDescent="0.25">
      <c r="O239" s="186"/>
    </row>
    <row r="240" spans="15:15" x14ac:dyDescent="0.25">
      <c r="O240" s="186"/>
    </row>
    <row r="241" spans="15:15" x14ac:dyDescent="0.25">
      <c r="O241" s="186"/>
    </row>
    <row r="242" spans="15:15" x14ac:dyDescent="0.25">
      <c r="O242" s="186"/>
    </row>
    <row r="243" spans="15:15" x14ac:dyDescent="0.25">
      <c r="O243" s="186"/>
    </row>
    <row r="244" spans="15:15" x14ac:dyDescent="0.25">
      <c r="O244" s="186"/>
    </row>
    <row r="245" spans="15:15" x14ac:dyDescent="0.25">
      <c r="O245" s="186"/>
    </row>
    <row r="246" spans="15:15" x14ac:dyDescent="0.25">
      <c r="O246" s="186"/>
    </row>
    <row r="247" spans="15:15" x14ac:dyDescent="0.25">
      <c r="O247" s="186"/>
    </row>
    <row r="248" spans="15:15" x14ac:dyDescent="0.25">
      <c r="O248" s="186"/>
    </row>
    <row r="249" spans="15:15" x14ac:dyDescent="0.25">
      <c r="O249" s="186"/>
    </row>
    <row r="250" spans="15:15" x14ac:dyDescent="0.25">
      <c r="O250" s="186"/>
    </row>
    <row r="251" spans="15:15" x14ac:dyDescent="0.25">
      <c r="O251" s="186"/>
    </row>
    <row r="252" spans="15:15" x14ac:dyDescent="0.25">
      <c r="O252" s="186"/>
    </row>
    <row r="253" spans="15:15" x14ac:dyDescent="0.25">
      <c r="O253" s="186"/>
    </row>
    <row r="254" spans="15:15" x14ac:dyDescent="0.25">
      <c r="O254" s="186"/>
    </row>
    <row r="255" spans="15:15" x14ac:dyDescent="0.25">
      <c r="O255" s="186"/>
    </row>
    <row r="256" spans="15:15" x14ac:dyDescent="0.25">
      <c r="O256" s="186"/>
    </row>
    <row r="257" spans="15:15" x14ac:dyDescent="0.25">
      <c r="O257" s="186"/>
    </row>
    <row r="258" spans="15:15" x14ac:dyDescent="0.25">
      <c r="O258" s="186"/>
    </row>
    <row r="259" spans="15:15" x14ac:dyDescent="0.25">
      <c r="O259" s="186"/>
    </row>
    <row r="260" spans="15:15" x14ac:dyDescent="0.25">
      <c r="O260" s="186"/>
    </row>
    <row r="261" spans="15:15" x14ac:dyDescent="0.25">
      <c r="O261" s="186"/>
    </row>
    <row r="262" spans="15:15" x14ac:dyDescent="0.25">
      <c r="O262" s="186"/>
    </row>
    <row r="263" spans="15:15" x14ac:dyDescent="0.25">
      <c r="O263" s="186"/>
    </row>
    <row r="264" spans="15:15" x14ac:dyDescent="0.25">
      <c r="O264" s="186"/>
    </row>
    <row r="265" spans="15:15" x14ac:dyDescent="0.25">
      <c r="O265" s="186"/>
    </row>
    <row r="266" spans="15:15" x14ac:dyDescent="0.25">
      <c r="O266" s="186"/>
    </row>
    <row r="267" spans="15:15" x14ac:dyDescent="0.25">
      <c r="O267" s="186"/>
    </row>
    <row r="268" spans="15:15" x14ac:dyDescent="0.25">
      <c r="O268" s="186"/>
    </row>
    <row r="269" spans="15:15" x14ac:dyDescent="0.25">
      <c r="O269" s="186"/>
    </row>
    <row r="270" spans="15:15" x14ac:dyDescent="0.25">
      <c r="O270" s="186"/>
    </row>
    <row r="271" spans="15:15" x14ac:dyDescent="0.25">
      <c r="O271" s="186"/>
    </row>
    <row r="272" spans="15:15" x14ac:dyDescent="0.25">
      <c r="O272" s="186"/>
    </row>
    <row r="273" spans="15:15" x14ac:dyDescent="0.25">
      <c r="O273" s="186"/>
    </row>
    <row r="274" spans="15:15" x14ac:dyDescent="0.25">
      <c r="O274" s="186"/>
    </row>
    <row r="275" spans="15:15" x14ac:dyDescent="0.25">
      <c r="O275" s="186"/>
    </row>
    <row r="276" spans="15:15" x14ac:dyDescent="0.25">
      <c r="O276" s="186"/>
    </row>
    <row r="277" spans="15:15" x14ac:dyDescent="0.25">
      <c r="O277" s="186"/>
    </row>
    <row r="278" spans="15:15" x14ac:dyDescent="0.25">
      <c r="O278" s="186"/>
    </row>
    <row r="279" spans="15:15" x14ac:dyDescent="0.25">
      <c r="O279" s="186"/>
    </row>
    <row r="280" spans="15:15" x14ac:dyDescent="0.25">
      <c r="O280" s="186"/>
    </row>
    <row r="281" spans="15:15" x14ac:dyDescent="0.25">
      <c r="O281" s="186"/>
    </row>
    <row r="282" spans="15:15" x14ac:dyDescent="0.25">
      <c r="O282" s="186"/>
    </row>
    <row r="283" spans="15:15" x14ac:dyDescent="0.25">
      <c r="O283" s="186"/>
    </row>
  </sheetData>
  <mergeCells count="39">
    <mergeCell ref="I84:J84"/>
    <mergeCell ref="B76:C76"/>
    <mergeCell ref="D76:F76"/>
    <mergeCell ref="G76:H76"/>
    <mergeCell ref="C80:D80"/>
    <mergeCell ref="C83:D83"/>
    <mergeCell ref="C84:D84"/>
    <mergeCell ref="B75:C75"/>
    <mergeCell ref="D75:F75"/>
    <mergeCell ref="G75:H75"/>
    <mergeCell ref="I80:J80"/>
    <mergeCell ref="I83:J83"/>
    <mergeCell ref="B73:C73"/>
    <mergeCell ref="D73:F73"/>
    <mergeCell ref="G73:H73"/>
    <mergeCell ref="B74:C74"/>
    <mergeCell ref="D74:F74"/>
    <mergeCell ref="G74:H74"/>
    <mergeCell ref="J9:J10"/>
    <mergeCell ref="K9:K10"/>
    <mergeCell ref="B72:C72"/>
    <mergeCell ref="D72:F72"/>
    <mergeCell ref="G72:H72"/>
    <mergeCell ref="C70:I70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A1:L1"/>
    <mergeCell ref="A3:L3"/>
    <mergeCell ref="A6:L6"/>
    <mergeCell ref="A7:L7"/>
    <mergeCell ref="C8:G8"/>
    <mergeCell ref="H8:K8"/>
  </mergeCells>
  <printOptions horizontalCentered="1"/>
  <pageMargins left="0.23622047244094491" right="0.23622047244094491" top="0.35433070866141736" bottom="0.35433070866141736" header="0.31496062992125984" footer="0.31496062992125984"/>
  <pageSetup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T285"/>
  <sheetViews>
    <sheetView topLeftCell="A10" workbookViewId="0">
      <selection activeCell="K38" sqref="K38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3" width="16.5703125" style="1"/>
    <col min="14" max="14" width="16.5703125" style="1" customWidth="1"/>
    <col min="15" max="15" width="24.28515625" style="165" customWidth="1"/>
    <col min="16" max="16" width="16.5703125" style="169" customWidth="1"/>
    <col min="17" max="18" width="16.5703125" style="141"/>
    <col min="19" max="258" width="16.5703125" style="1"/>
    <col min="259" max="259" width="16.5703125" style="1" customWidth="1"/>
    <col min="260" max="263" width="12.7109375" style="1" customWidth="1"/>
    <col min="264" max="264" width="6.5703125" style="1" bestFit="1" customWidth="1"/>
    <col min="265" max="269" width="12.7109375" style="1" customWidth="1"/>
    <col min="270" max="514" width="16.5703125" style="1"/>
    <col min="515" max="515" width="16.5703125" style="1" customWidth="1"/>
    <col min="516" max="519" width="12.7109375" style="1" customWidth="1"/>
    <col min="520" max="520" width="6.5703125" style="1" bestFit="1" customWidth="1"/>
    <col min="521" max="525" width="12.7109375" style="1" customWidth="1"/>
    <col min="526" max="770" width="16.5703125" style="1"/>
    <col min="771" max="771" width="16.5703125" style="1" customWidth="1"/>
    <col min="772" max="775" width="12.7109375" style="1" customWidth="1"/>
    <col min="776" max="776" width="6.5703125" style="1" bestFit="1" customWidth="1"/>
    <col min="777" max="781" width="12.7109375" style="1" customWidth="1"/>
    <col min="782" max="1026" width="16.5703125" style="1"/>
    <col min="1027" max="1027" width="16.5703125" style="1" customWidth="1"/>
    <col min="1028" max="1031" width="12.7109375" style="1" customWidth="1"/>
    <col min="1032" max="1032" width="6.5703125" style="1" bestFit="1" customWidth="1"/>
    <col min="1033" max="1037" width="12.7109375" style="1" customWidth="1"/>
    <col min="1038" max="1282" width="16.5703125" style="1"/>
    <col min="1283" max="1283" width="16.5703125" style="1" customWidth="1"/>
    <col min="1284" max="1287" width="12.7109375" style="1" customWidth="1"/>
    <col min="1288" max="1288" width="6.5703125" style="1" bestFit="1" customWidth="1"/>
    <col min="1289" max="1293" width="12.7109375" style="1" customWidth="1"/>
    <col min="1294" max="1538" width="16.5703125" style="1"/>
    <col min="1539" max="1539" width="16.5703125" style="1" customWidth="1"/>
    <col min="1540" max="1543" width="12.7109375" style="1" customWidth="1"/>
    <col min="1544" max="1544" width="6.5703125" style="1" bestFit="1" customWidth="1"/>
    <col min="1545" max="1549" width="12.7109375" style="1" customWidth="1"/>
    <col min="1550" max="1794" width="16.5703125" style="1"/>
    <col min="1795" max="1795" width="16.5703125" style="1" customWidth="1"/>
    <col min="1796" max="1799" width="12.7109375" style="1" customWidth="1"/>
    <col min="1800" max="1800" width="6.5703125" style="1" bestFit="1" customWidth="1"/>
    <col min="1801" max="1805" width="12.7109375" style="1" customWidth="1"/>
    <col min="1806" max="2050" width="16.5703125" style="1"/>
    <col min="2051" max="2051" width="16.5703125" style="1" customWidth="1"/>
    <col min="2052" max="2055" width="12.7109375" style="1" customWidth="1"/>
    <col min="2056" max="2056" width="6.5703125" style="1" bestFit="1" customWidth="1"/>
    <col min="2057" max="2061" width="12.7109375" style="1" customWidth="1"/>
    <col min="2062" max="2306" width="16.5703125" style="1"/>
    <col min="2307" max="2307" width="16.5703125" style="1" customWidth="1"/>
    <col min="2308" max="2311" width="12.7109375" style="1" customWidth="1"/>
    <col min="2312" max="2312" width="6.5703125" style="1" bestFit="1" customWidth="1"/>
    <col min="2313" max="2317" width="12.7109375" style="1" customWidth="1"/>
    <col min="2318" max="2562" width="16.5703125" style="1"/>
    <col min="2563" max="2563" width="16.5703125" style="1" customWidth="1"/>
    <col min="2564" max="2567" width="12.7109375" style="1" customWidth="1"/>
    <col min="2568" max="2568" width="6.5703125" style="1" bestFit="1" customWidth="1"/>
    <col min="2569" max="2573" width="12.7109375" style="1" customWidth="1"/>
    <col min="2574" max="2818" width="16.5703125" style="1"/>
    <col min="2819" max="2819" width="16.5703125" style="1" customWidth="1"/>
    <col min="2820" max="2823" width="12.7109375" style="1" customWidth="1"/>
    <col min="2824" max="2824" width="6.5703125" style="1" bestFit="1" customWidth="1"/>
    <col min="2825" max="2829" width="12.7109375" style="1" customWidth="1"/>
    <col min="2830" max="3074" width="16.5703125" style="1"/>
    <col min="3075" max="3075" width="16.5703125" style="1" customWidth="1"/>
    <col min="3076" max="3079" width="12.7109375" style="1" customWidth="1"/>
    <col min="3080" max="3080" width="6.5703125" style="1" bestFit="1" customWidth="1"/>
    <col min="3081" max="3085" width="12.7109375" style="1" customWidth="1"/>
    <col min="3086" max="3330" width="16.5703125" style="1"/>
    <col min="3331" max="3331" width="16.5703125" style="1" customWidth="1"/>
    <col min="3332" max="3335" width="12.7109375" style="1" customWidth="1"/>
    <col min="3336" max="3336" width="6.5703125" style="1" bestFit="1" customWidth="1"/>
    <col min="3337" max="3341" width="12.7109375" style="1" customWidth="1"/>
    <col min="3342" max="3586" width="16.5703125" style="1"/>
    <col min="3587" max="3587" width="16.5703125" style="1" customWidth="1"/>
    <col min="3588" max="3591" width="12.7109375" style="1" customWidth="1"/>
    <col min="3592" max="3592" width="6.5703125" style="1" bestFit="1" customWidth="1"/>
    <col min="3593" max="3597" width="12.7109375" style="1" customWidth="1"/>
    <col min="3598" max="3842" width="16.5703125" style="1"/>
    <col min="3843" max="3843" width="16.5703125" style="1" customWidth="1"/>
    <col min="3844" max="3847" width="12.7109375" style="1" customWidth="1"/>
    <col min="3848" max="3848" width="6.5703125" style="1" bestFit="1" customWidth="1"/>
    <col min="3849" max="3853" width="12.7109375" style="1" customWidth="1"/>
    <col min="3854" max="4098" width="16.5703125" style="1"/>
    <col min="4099" max="4099" width="16.5703125" style="1" customWidth="1"/>
    <col min="4100" max="4103" width="12.7109375" style="1" customWidth="1"/>
    <col min="4104" max="4104" width="6.5703125" style="1" bestFit="1" customWidth="1"/>
    <col min="4105" max="4109" width="12.7109375" style="1" customWidth="1"/>
    <col min="4110" max="4354" width="16.5703125" style="1"/>
    <col min="4355" max="4355" width="16.5703125" style="1" customWidth="1"/>
    <col min="4356" max="4359" width="12.7109375" style="1" customWidth="1"/>
    <col min="4360" max="4360" width="6.5703125" style="1" bestFit="1" customWidth="1"/>
    <col min="4361" max="4365" width="12.7109375" style="1" customWidth="1"/>
    <col min="4366" max="4610" width="16.5703125" style="1"/>
    <col min="4611" max="4611" width="16.5703125" style="1" customWidth="1"/>
    <col min="4612" max="4615" width="12.7109375" style="1" customWidth="1"/>
    <col min="4616" max="4616" width="6.5703125" style="1" bestFit="1" customWidth="1"/>
    <col min="4617" max="4621" width="12.7109375" style="1" customWidth="1"/>
    <col min="4622" max="4866" width="16.5703125" style="1"/>
    <col min="4867" max="4867" width="16.5703125" style="1" customWidth="1"/>
    <col min="4868" max="4871" width="12.7109375" style="1" customWidth="1"/>
    <col min="4872" max="4872" width="6.5703125" style="1" bestFit="1" customWidth="1"/>
    <col min="4873" max="4877" width="12.7109375" style="1" customWidth="1"/>
    <col min="4878" max="5122" width="16.5703125" style="1"/>
    <col min="5123" max="5123" width="16.5703125" style="1" customWidth="1"/>
    <col min="5124" max="5127" width="12.7109375" style="1" customWidth="1"/>
    <col min="5128" max="5128" width="6.5703125" style="1" bestFit="1" customWidth="1"/>
    <col min="5129" max="5133" width="12.7109375" style="1" customWidth="1"/>
    <col min="5134" max="5378" width="16.5703125" style="1"/>
    <col min="5379" max="5379" width="16.5703125" style="1" customWidth="1"/>
    <col min="5380" max="5383" width="12.7109375" style="1" customWidth="1"/>
    <col min="5384" max="5384" width="6.5703125" style="1" bestFit="1" customWidth="1"/>
    <col min="5385" max="5389" width="12.7109375" style="1" customWidth="1"/>
    <col min="5390" max="5634" width="16.5703125" style="1"/>
    <col min="5635" max="5635" width="16.5703125" style="1" customWidth="1"/>
    <col min="5636" max="5639" width="12.7109375" style="1" customWidth="1"/>
    <col min="5640" max="5640" width="6.5703125" style="1" bestFit="1" customWidth="1"/>
    <col min="5641" max="5645" width="12.7109375" style="1" customWidth="1"/>
    <col min="5646" max="5890" width="16.5703125" style="1"/>
    <col min="5891" max="5891" width="16.5703125" style="1" customWidth="1"/>
    <col min="5892" max="5895" width="12.7109375" style="1" customWidth="1"/>
    <col min="5896" max="5896" width="6.5703125" style="1" bestFit="1" customWidth="1"/>
    <col min="5897" max="5901" width="12.7109375" style="1" customWidth="1"/>
    <col min="5902" max="6146" width="16.5703125" style="1"/>
    <col min="6147" max="6147" width="16.5703125" style="1" customWidth="1"/>
    <col min="6148" max="6151" width="12.7109375" style="1" customWidth="1"/>
    <col min="6152" max="6152" width="6.5703125" style="1" bestFit="1" customWidth="1"/>
    <col min="6153" max="6157" width="12.7109375" style="1" customWidth="1"/>
    <col min="6158" max="6402" width="16.5703125" style="1"/>
    <col min="6403" max="6403" width="16.5703125" style="1" customWidth="1"/>
    <col min="6404" max="6407" width="12.7109375" style="1" customWidth="1"/>
    <col min="6408" max="6408" width="6.5703125" style="1" bestFit="1" customWidth="1"/>
    <col min="6409" max="6413" width="12.7109375" style="1" customWidth="1"/>
    <col min="6414" max="6658" width="16.5703125" style="1"/>
    <col min="6659" max="6659" width="16.5703125" style="1" customWidth="1"/>
    <col min="6660" max="6663" width="12.7109375" style="1" customWidth="1"/>
    <col min="6664" max="6664" width="6.5703125" style="1" bestFit="1" customWidth="1"/>
    <col min="6665" max="6669" width="12.7109375" style="1" customWidth="1"/>
    <col min="6670" max="6914" width="16.5703125" style="1"/>
    <col min="6915" max="6915" width="16.5703125" style="1" customWidth="1"/>
    <col min="6916" max="6919" width="12.7109375" style="1" customWidth="1"/>
    <col min="6920" max="6920" width="6.5703125" style="1" bestFit="1" customWidth="1"/>
    <col min="6921" max="6925" width="12.7109375" style="1" customWidth="1"/>
    <col min="6926" max="7170" width="16.5703125" style="1"/>
    <col min="7171" max="7171" width="16.5703125" style="1" customWidth="1"/>
    <col min="7172" max="7175" width="12.7109375" style="1" customWidth="1"/>
    <col min="7176" max="7176" width="6.5703125" style="1" bestFit="1" customWidth="1"/>
    <col min="7177" max="7181" width="12.7109375" style="1" customWidth="1"/>
    <col min="7182" max="7426" width="16.5703125" style="1"/>
    <col min="7427" max="7427" width="16.5703125" style="1" customWidth="1"/>
    <col min="7428" max="7431" width="12.7109375" style="1" customWidth="1"/>
    <col min="7432" max="7432" width="6.5703125" style="1" bestFit="1" customWidth="1"/>
    <col min="7433" max="7437" width="12.7109375" style="1" customWidth="1"/>
    <col min="7438" max="7682" width="16.5703125" style="1"/>
    <col min="7683" max="7683" width="16.5703125" style="1" customWidth="1"/>
    <col min="7684" max="7687" width="12.7109375" style="1" customWidth="1"/>
    <col min="7688" max="7688" width="6.5703125" style="1" bestFit="1" customWidth="1"/>
    <col min="7689" max="7693" width="12.7109375" style="1" customWidth="1"/>
    <col min="7694" max="7938" width="16.5703125" style="1"/>
    <col min="7939" max="7939" width="16.5703125" style="1" customWidth="1"/>
    <col min="7940" max="7943" width="12.7109375" style="1" customWidth="1"/>
    <col min="7944" max="7944" width="6.5703125" style="1" bestFit="1" customWidth="1"/>
    <col min="7945" max="7949" width="12.7109375" style="1" customWidth="1"/>
    <col min="7950" max="8194" width="16.5703125" style="1"/>
    <col min="8195" max="8195" width="16.5703125" style="1" customWidth="1"/>
    <col min="8196" max="8199" width="12.7109375" style="1" customWidth="1"/>
    <col min="8200" max="8200" width="6.5703125" style="1" bestFit="1" customWidth="1"/>
    <col min="8201" max="8205" width="12.7109375" style="1" customWidth="1"/>
    <col min="8206" max="8450" width="16.5703125" style="1"/>
    <col min="8451" max="8451" width="16.5703125" style="1" customWidth="1"/>
    <col min="8452" max="8455" width="12.7109375" style="1" customWidth="1"/>
    <col min="8456" max="8456" width="6.5703125" style="1" bestFit="1" customWidth="1"/>
    <col min="8457" max="8461" width="12.7109375" style="1" customWidth="1"/>
    <col min="8462" max="8706" width="16.5703125" style="1"/>
    <col min="8707" max="8707" width="16.5703125" style="1" customWidth="1"/>
    <col min="8708" max="8711" width="12.7109375" style="1" customWidth="1"/>
    <col min="8712" max="8712" width="6.5703125" style="1" bestFit="1" customWidth="1"/>
    <col min="8713" max="8717" width="12.7109375" style="1" customWidth="1"/>
    <col min="8718" max="8962" width="16.5703125" style="1"/>
    <col min="8963" max="8963" width="16.5703125" style="1" customWidth="1"/>
    <col min="8964" max="8967" width="12.7109375" style="1" customWidth="1"/>
    <col min="8968" max="8968" width="6.5703125" style="1" bestFit="1" customWidth="1"/>
    <col min="8969" max="8973" width="12.7109375" style="1" customWidth="1"/>
    <col min="8974" max="9218" width="16.5703125" style="1"/>
    <col min="9219" max="9219" width="16.5703125" style="1" customWidth="1"/>
    <col min="9220" max="9223" width="12.7109375" style="1" customWidth="1"/>
    <col min="9224" max="9224" width="6.5703125" style="1" bestFit="1" customWidth="1"/>
    <col min="9225" max="9229" width="12.7109375" style="1" customWidth="1"/>
    <col min="9230" max="9474" width="16.5703125" style="1"/>
    <col min="9475" max="9475" width="16.5703125" style="1" customWidth="1"/>
    <col min="9476" max="9479" width="12.7109375" style="1" customWidth="1"/>
    <col min="9480" max="9480" width="6.5703125" style="1" bestFit="1" customWidth="1"/>
    <col min="9481" max="9485" width="12.7109375" style="1" customWidth="1"/>
    <col min="9486" max="9730" width="16.5703125" style="1"/>
    <col min="9731" max="9731" width="16.5703125" style="1" customWidth="1"/>
    <col min="9732" max="9735" width="12.7109375" style="1" customWidth="1"/>
    <col min="9736" max="9736" width="6.5703125" style="1" bestFit="1" customWidth="1"/>
    <col min="9737" max="9741" width="12.7109375" style="1" customWidth="1"/>
    <col min="9742" max="9986" width="16.5703125" style="1"/>
    <col min="9987" max="9987" width="16.5703125" style="1" customWidth="1"/>
    <col min="9988" max="9991" width="12.7109375" style="1" customWidth="1"/>
    <col min="9992" max="9992" width="6.5703125" style="1" bestFit="1" customWidth="1"/>
    <col min="9993" max="9997" width="12.7109375" style="1" customWidth="1"/>
    <col min="9998" max="10242" width="16.5703125" style="1"/>
    <col min="10243" max="10243" width="16.5703125" style="1" customWidth="1"/>
    <col min="10244" max="10247" width="12.7109375" style="1" customWidth="1"/>
    <col min="10248" max="10248" width="6.5703125" style="1" bestFit="1" customWidth="1"/>
    <col min="10249" max="10253" width="12.7109375" style="1" customWidth="1"/>
    <col min="10254" max="10498" width="16.5703125" style="1"/>
    <col min="10499" max="10499" width="16.5703125" style="1" customWidth="1"/>
    <col min="10500" max="10503" width="12.7109375" style="1" customWidth="1"/>
    <col min="10504" max="10504" width="6.5703125" style="1" bestFit="1" customWidth="1"/>
    <col min="10505" max="10509" width="12.7109375" style="1" customWidth="1"/>
    <col min="10510" max="10754" width="16.5703125" style="1"/>
    <col min="10755" max="10755" width="16.5703125" style="1" customWidth="1"/>
    <col min="10756" max="10759" width="12.7109375" style="1" customWidth="1"/>
    <col min="10760" max="10760" width="6.5703125" style="1" bestFit="1" customWidth="1"/>
    <col min="10761" max="10765" width="12.7109375" style="1" customWidth="1"/>
    <col min="10766" max="11010" width="16.5703125" style="1"/>
    <col min="11011" max="11011" width="16.5703125" style="1" customWidth="1"/>
    <col min="11012" max="11015" width="12.7109375" style="1" customWidth="1"/>
    <col min="11016" max="11016" width="6.5703125" style="1" bestFit="1" customWidth="1"/>
    <col min="11017" max="11021" width="12.7109375" style="1" customWidth="1"/>
    <col min="11022" max="11266" width="16.5703125" style="1"/>
    <col min="11267" max="11267" width="16.5703125" style="1" customWidth="1"/>
    <col min="11268" max="11271" width="12.7109375" style="1" customWidth="1"/>
    <col min="11272" max="11272" width="6.5703125" style="1" bestFit="1" customWidth="1"/>
    <col min="11273" max="11277" width="12.7109375" style="1" customWidth="1"/>
    <col min="11278" max="11522" width="16.5703125" style="1"/>
    <col min="11523" max="11523" width="16.5703125" style="1" customWidth="1"/>
    <col min="11524" max="11527" width="12.7109375" style="1" customWidth="1"/>
    <col min="11528" max="11528" width="6.5703125" style="1" bestFit="1" customWidth="1"/>
    <col min="11529" max="11533" width="12.7109375" style="1" customWidth="1"/>
    <col min="11534" max="11778" width="16.5703125" style="1"/>
    <col min="11779" max="11779" width="16.5703125" style="1" customWidth="1"/>
    <col min="11780" max="11783" width="12.7109375" style="1" customWidth="1"/>
    <col min="11784" max="11784" width="6.5703125" style="1" bestFit="1" customWidth="1"/>
    <col min="11785" max="11789" width="12.7109375" style="1" customWidth="1"/>
    <col min="11790" max="12034" width="16.5703125" style="1"/>
    <col min="12035" max="12035" width="16.5703125" style="1" customWidth="1"/>
    <col min="12036" max="12039" width="12.7109375" style="1" customWidth="1"/>
    <col min="12040" max="12040" width="6.5703125" style="1" bestFit="1" customWidth="1"/>
    <col min="12041" max="12045" width="12.7109375" style="1" customWidth="1"/>
    <col min="12046" max="12290" width="16.5703125" style="1"/>
    <col min="12291" max="12291" width="16.5703125" style="1" customWidth="1"/>
    <col min="12292" max="12295" width="12.7109375" style="1" customWidth="1"/>
    <col min="12296" max="12296" width="6.5703125" style="1" bestFit="1" customWidth="1"/>
    <col min="12297" max="12301" width="12.7109375" style="1" customWidth="1"/>
    <col min="12302" max="12546" width="16.5703125" style="1"/>
    <col min="12547" max="12547" width="16.5703125" style="1" customWidth="1"/>
    <col min="12548" max="12551" width="12.7109375" style="1" customWidth="1"/>
    <col min="12552" max="12552" width="6.5703125" style="1" bestFit="1" customWidth="1"/>
    <col min="12553" max="12557" width="12.7109375" style="1" customWidth="1"/>
    <col min="12558" max="12802" width="16.5703125" style="1"/>
    <col min="12803" max="12803" width="16.5703125" style="1" customWidth="1"/>
    <col min="12804" max="12807" width="12.7109375" style="1" customWidth="1"/>
    <col min="12808" max="12808" width="6.5703125" style="1" bestFit="1" customWidth="1"/>
    <col min="12809" max="12813" width="12.7109375" style="1" customWidth="1"/>
    <col min="12814" max="13058" width="16.5703125" style="1"/>
    <col min="13059" max="13059" width="16.5703125" style="1" customWidth="1"/>
    <col min="13060" max="13063" width="12.7109375" style="1" customWidth="1"/>
    <col min="13064" max="13064" width="6.5703125" style="1" bestFit="1" customWidth="1"/>
    <col min="13065" max="13069" width="12.7109375" style="1" customWidth="1"/>
    <col min="13070" max="13314" width="16.5703125" style="1"/>
    <col min="13315" max="13315" width="16.5703125" style="1" customWidth="1"/>
    <col min="13316" max="13319" width="12.7109375" style="1" customWidth="1"/>
    <col min="13320" max="13320" width="6.5703125" style="1" bestFit="1" customWidth="1"/>
    <col min="13321" max="13325" width="12.7109375" style="1" customWidth="1"/>
    <col min="13326" max="13570" width="16.5703125" style="1"/>
    <col min="13571" max="13571" width="16.5703125" style="1" customWidth="1"/>
    <col min="13572" max="13575" width="12.7109375" style="1" customWidth="1"/>
    <col min="13576" max="13576" width="6.5703125" style="1" bestFit="1" customWidth="1"/>
    <col min="13577" max="13581" width="12.7109375" style="1" customWidth="1"/>
    <col min="13582" max="13826" width="16.5703125" style="1"/>
    <col min="13827" max="13827" width="16.5703125" style="1" customWidth="1"/>
    <col min="13828" max="13831" width="12.7109375" style="1" customWidth="1"/>
    <col min="13832" max="13832" width="6.5703125" style="1" bestFit="1" customWidth="1"/>
    <col min="13833" max="13837" width="12.7109375" style="1" customWidth="1"/>
    <col min="13838" max="14082" width="16.5703125" style="1"/>
    <col min="14083" max="14083" width="16.5703125" style="1" customWidth="1"/>
    <col min="14084" max="14087" width="12.7109375" style="1" customWidth="1"/>
    <col min="14088" max="14088" width="6.5703125" style="1" bestFit="1" customWidth="1"/>
    <col min="14089" max="14093" width="12.7109375" style="1" customWidth="1"/>
    <col min="14094" max="14338" width="16.5703125" style="1"/>
    <col min="14339" max="14339" width="16.5703125" style="1" customWidth="1"/>
    <col min="14340" max="14343" width="12.7109375" style="1" customWidth="1"/>
    <col min="14344" max="14344" width="6.5703125" style="1" bestFit="1" customWidth="1"/>
    <col min="14345" max="14349" width="12.7109375" style="1" customWidth="1"/>
    <col min="14350" max="14594" width="16.5703125" style="1"/>
    <col min="14595" max="14595" width="16.5703125" style="1" customWidth="1"/>
    <col min="14596" max="14599" width="12.7109375" style="1" customWidth="1"/>
    <col min="14600" max="14600" width="6.5703125" style="1" bestFit="1" customWidth="1"/>
    <col min="14601" max="14605" width="12.7109375" style="1" customWidth="1"/>
    <col min="14606" max="14850" width="16.5703125" style="1"/>
    <col min="14851" max="14851" width="16.5703125" style="1" customWidth="1"/>
    <col min="14852" max="14855" width="12.7109375" style="1" customWidth="1"/>
    <col min="14856" max="14856" width="6.5703125" style="1" bestFit="1" customWidth="1"/>
    <col min="14857" max="14861" width="12.7109375" style="1" customWidth="1"/>
    <col min="14862" max="15106" width="16.5703125" style="1"/>
    <col min="15107" max="15107" width="16.5703125" style="1" customWidth="1"/>
    <col min="15108" max="15111" width="12.7109375" style="1" customWidth="1"/>
    <col min="15112" max="15112" width="6.5703125" style="1" bestFit="1" customWidth="1"/>
    <col min="15113" max="15117" width="12.7109375" style="1" customWidth="1"/>
    <col min="15118" max="15362" width="16.5703125" style="1"/>
    <col min="15363" max="15363" width="16.5703125" style="1" customWidth="1"/>
    <col min="15364" max="15367" width="12.7109375" style="1" customWidth="1"/>
    <col min="15368" max="15368" width="6.5703125" style="1" bestFit="1" customWidth="1"/>
    <col min="15369" max="15373" width="12.7109375" style="1" customWidth="1"/>
    <col min="15374" max="15618" width="16.5703125" style="1"/>
    <col min="15619" max="15619" width="16.5703125" style="1" customWidth="1"/>
    <col min="15620" max="15623" width="12.7109375" style="1" customWidth="1"/>
    <col min="15624" max="15624" width="6.5703125" style="1" bestFit="1" customWidth="1"/>
    <col min="15625" max="15629" width="12.7109375" style="1" customWidth="1"/>
    <col min="15630" max="15874" width="16.5703125" style="1"/>
    <col min="15875" max="15875" width="16.5703125" style="1" customWidth="1"/>
    <col min="15876" max="15879" width="12.7109375" style="1" customWidth="1"/>
    <col min="15880" max="15880" width="6.5703125" style="1" bestFit="1" customWidth="1"/>
    <col min="15881" max="15885" width="12.7109375" style="1" customWidth="1"/>
    <col min="15886" max="16130" width="16.5703125" style="1"/>
    <col min="16131" max="16131" width="16.5703125" style="1" customWidth="1"/>
    <col min="16132" max="16135" width="12.7109375" style="1" customWidth="1"/>
    <col min="16136" max="16136" width="6.5703125" style="1" bestFit="1" customWidth="1"/>
    <col min="16137" max="16141" width="12.7109375" style="1" customWidth="1"/>
    <col min="16142" max="16384" width="16.5703125" style="1"/>
  </cols>
  <sheetData>
    <row r="1" spans="1:18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231"/>
      <c r="N1" s="224"/>
      <c r="P1" s="186"/>
    </row>
    <row r="2" spans="1:18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86"/>
    </row>
    <row r="3" spans="1:18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231"/>
      <c r="N3" s="224"/>
      <c r="P3" s="186"/>
    </row>
    <row r="4" spans="1:18" x14ac:dyDescent="0.25">
      <c r="A4" s="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31"/>
      <c r="N4" s="224"/>
      <c r="P4" s="186"/>
    </row>
    <row r="5" spans="1:18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  <c r="P5" s="186"/>
    </row>
    <row r="6" spans="1:18" x14ac:dyDescent="0.25">
      <c r="A6" s="334" t="s">
        <v>54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231"/>
      <c r="P6" s="186"/>
    </row>
    <row r="7" spans="1:18" x14ac:dyDescent="0.25">
      <c r="A7" s="334" t="s">
        <v>134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231"/>
      <c r="P7" s="186"/>
    </row>
    <row r="8" spans="1:18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  <c r="P8" s="186"/>
    </row>
    <row r="9" spans="1:18" s="17" customForma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30"/>
      <c r="N9" s="30"/>
      <c r="O9" s="166"/>
      <c r="P9" s="187"/>
      <c r="Q9" s="142"/>
      <c r="R9" s="142"/>
    </row>
    <row r="10" spans="1:18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M10" s="30"/>
      <c r="N10" s="30"/>
      <c r="P10" s="186"/>
      <c r="Q10" s="151"/>
    </row>
    <row r="11" spans="1:18" s="17" customFormat="1" x14ac:dyDescent="0.25">
      <c r="A11" s="139" t="s">
        <v>18</v>
      </c>
      <c r="B11" s="14">
        <v>14556397.630000001</v>
      </c>
      <c r="C11" s="14">
        <v>6768021.54</v>
      </c>
      <c r="D11" s="11">
        <v>0</v>
      </c>
      <c r="E11" s="14">
        <v>5140663.8499999996</v>
      </c>
      <c r="F11" s="14">
        <f>+E11/C11</f>
        <v>0.75955193399103749</v>
      </c>
      <c r="G11" s="14">
        <f t="shared" ref="G11:G23" si="0">+C11+D11-E11</f>
        <v>1627357.6900000004</v>
      </c>
      <c r="H11" s="11">
        <f>74756.64+1000619.14</f>
        <v>1075375.78</v>
      </c>
      <c r="I11" s="14">
        <f>966471.33+14820</f>
        <v>981291.33</v>
      </c>
      <c r="J11" s="14">
        <f>7608+421701.42</f>
        <v>429309.42</v>
      </c>
      <c r="K11" s="14">
        <f>H11+I11-J11</f>
        <v>1627357.69</v>
      </c>
      <c r="L11" s="15">
        <f>+F11</f>
        <v>0.75955193399103749</v>
      </c>
      <c r="M11" s="163"/>
      <c r="N11" s="163"/>
      <c r="O11" s="62">
        <f>+K11-G11</f>
        <v>0</v>
      </c>
      <c r="P11" s="114"/>
      <c r="Q11" s="153"/>
      <c r="R11" s="142"/>
    </row>
    <row r="12" spans="1:18" x14ac:dyDescent="0.2">
      <c r="A12" s="139" t="s">
        <v>20</v>
      </c>
      <c r="B12" s="14">
        <v>30330208</v>
      </c>
      <c r="C12" s="11">
        <v>16955156.940000001</v>
      </c>
      <c r="D12" s="11">
        <v>0</v>
      </c>
      <c r="E12" s="14">
        <v>17598842.989999998</v>
      </c>
      <c r="F12" s="14">
        <f t="shared" ref="F12:F17" si="1">+E12/C12</f>
        <v>1.0379640278339999</v>
      </c>
      <c r="G12" s="14">
        <f t="shared" si="0"/>
        <v>-643686.04999999702</v>
      </c>
      <c r="H12" s="11">
        <f>30000+454820.2</f>
        <v>484820.2</v>
      </c>
      <c r="I12" s="14">
        <f>531295.09+59451.8</f>
        <v>590746.89</v>
      </c>
      <c r="J12" s="14">
        <f>385781-2000+1335472.14</f>
        <v>1719253.14</v>
      </c>
      <c r="K12" s="14">
        <f t="shared" ref="K12:K20" si="2">H12+I12-J12</f>
        <v>-643686.04999999981</v>
      </c>
      <c r="L12" s="15">
        <f t="shared" ref="L12:L23" si="3">+F12</f>
        <v>1.0379640278339999</v>
      </c>
      <c r="M12" s="163"/>
      <c r="N12" s="163"/>
      <c r="O12" s="62">
        <f>+K12-G12</f>
        <v>-2.7939677238464355E-9</v>
      </c>
      <c r="P12" s="189"/>
      <c r="Q12" s="151"/>
    </row>
    <row r="13" spans="1:18" x14ac:dyDescent="0.2">
      <c r="A13" s="139" t="s">
        <v>21</v>
      </c>
      <c r="B13" s="14">
        <v>281207</v>
      </c>
      <c r="C13" s="11">
        <v>234117.27</v>
      </c>
      <c r="D13" s="11">
        <v>0</v>
      </c>
      <c r="E13" s="11">
        <v>185600</v>
      </c>
      <c r="F13" s="14">
        <f t="shared" si="1"/>
        <v>0.79276509588549371</v>
      </c>
      <c r="G13" s="14">
        <f t="shared" si="0"/>
        <v>48517.26999999999</v>
      </c>
      <c r="H13" s="11">
        <v>48527.27</v>
      </c>
      <c r="I13" s="14">
        <v>0</v>
      </c>
      <c r="J13" s="14">
        <v>10</v>
      </c>
      <c r="K13" s="14">
        <f t="shared" si="2"/>
        <v>48517.27</v>
      </c>
      <c r="L13" s="15">
        <f t="shared" si="3"/>
        <v>0.79276509588549371</v>
      </c>
      <c r="M13" s="163"/>
      <c r="N13" s="163"/>
      <c r="O13" s="62">
        <f>+K13-G13</f>
        <v>0</v>
      </c>
      <c r="P13" s="116"/>
    </row>
    <row r="14" spans="1:18" x14ac:dyDescent="0.2">
      <c r="A14" s="139" t="s">
        <v>22</v>
      </c>
      <c r="B14" s="14">
        <v>573761</v>
      </c>
      <c r="C14" s="11">
        <v>320173.81</v>
      </c>
      <c r="D14" s="11">
        <v>0</v>
      </c>
      <c r="E14" s="11">
        <v>278400</v>
      </c>
      <c r="F14" s="14">
        <f t="shared" si="1"/>
        <v>0.86952771058944511</v>
      </c>
      <c r="G14" s="14">
        <f t="shared" si="0"/>
        <v>41773.81</v>
      </c>
      <c r="H14" s="11">
        <v>41783.81</v>
      </c>
      <c r="I14" s="14">
        <v>0</v>
      </c>
      <c r="J14" s="14">
        <v>10</v>
      </c>
      <c r="K14" s="14">
        <f t="shared" si="2"/>
        <v>41773.81</v>
      </c>
      <c r="L14" s="15">
        <f t="shared" si="3"/>
        <v>0.86952771058944511</v>
      </c>
      <c r="M14" s="163"/>
      <c r="N14" s="163"/>
      <c r="O14" s="62">
        <f>+K14-G14</f>
        <v>0</v>
      </c>
      <c r="P14" s="116"/>
    </row>
    <row r="15" spans="1:18" x14ac:dyDescent="0.2">
      <c r="A15" s="139" t="s">
        <v>23</v>
      </c>
      <c r="B15" s="14">
        <v>1398350</v>
      </c>
      <c r="C15" s="11">
        <v>776578.24</v>
      </c>
      <c r="D15" s="11">
        <v>0</v>
      </c>
      <c r="E15" s="11">
        <v>121900.29</v>
      </c>
      <c r="F15" s="14">
        <f t="shared" si="1"/>
        <v>0.15697103488246078</v>
      </c>
      <c r="G15" s="14">
        <f t="shared" si="0"/>
        <v>654677.94999999995</v>
      </c>
      <c r="H15" s="11">
        <v>154687.95000000001</v>
      </c>
      <c r="I15" s="14">
        <v>500000</v>
      </c>
      <c r="J15" s="14">
        <v>10</v>
      </c>
      <c r="K15" s="14">
        <f t="shared" si="2"/>
        <v>654677.94999999995</v>
      </c>
      <c r="L15" s="15">
        <f t="shared" si="3"/>
        <v>0.15697103488246078</v>
      </c>
      <c r="M15" s="163"/>
      <c r="N15" s="163"/>
      <c r="O15" s="62">
        <f t="shared" ref="O15:O21" si="4">+K15-G15</f>
        <v>0</v>
      </c>
      <c r="P15" s="190"/>
    </row>
    <row r="16" spans="1:18" x14ac:dyDescent="0.2">
      <c r="A16" s="139" t="s">
        <v>24</v>
      </c>
      <c r="B16" s="14">
        <v>14692367</v>
      </c>
      <c r="C16" s="11">
        <v>9096959.2400000002</v>
      </c>
      <c r="D16" s="11">
        <v>0</v>
      </c>
      <c r="E16" s="14">
        <v>8614650.2200000007</v>
      </c>
      <c r="F16" s="14">
        <f t="shared" si="1"/>
        <v>0.94698129261926878</v>
      </c>
      <c r="G16" s="14">
        <f t="shared" si="0"/>
        <v>482309.01999999955</v>
      </c>
      <c r="H16" s="11">
        <v>906697.91</v>
      </c>
      <c r="I16" s="14">
        <f>112998.14+18500</f>
        <v>131498.14000000001</v>
      </c>
      <c r="J16" s="14">
        <f>177931+2000+375956.03</f>
        <v>555887.03</v>
      </c>
      <c r="K16" s="14">
        <f t="shared" si="2"/>
        <v>482309.02</v>
      </c>
      <c r="L16" s="15">
        <f t="shared" si="3"/>
        <v>0.94698129261926878</v>
      </c>
      <c r="M16" s="163"/>
      <c r="N16" s="163"/>
      <c r="O16" s="62">
        <f>+K16-G16</f>
        <v>4.6566128730773926E-10</v>
      </c>
      <c r="P16" s="190"/>
      <c r="Q16" s="151"/>
    </row>
    <row r="17" spans="1:20" x14ac:dyDescent="0.2">
      <c r="A17" s="139" t="s">
        <v>25</v>
      </c>
      <c r="B17" s="14">
        <v>1081241</v>
      </c>
      <c r="C17" s="11">
        <v>720959.74</v>
      </c>
      <c r="D17" s="11">
        <v>0</v>
      </c>
      <c r="E17" s="14">
        <v>473170.71</v>
      </c>
      <c r="F17" s="14">
        <f t="shared" si="1"/>
        <v>0.65630670306222649</v>
      </c>
      <c r="G17" s="14">
        <f t="shared" si="0"/>
        <v>247789.02999999997</v>
      </c>
      <c r="H17" s="11">
        <v>196084.16</v>
      </c>
      <c r="I17" s="14">
        <v>51714.87</v>
      </c>
      <c r="J17" s="14">
        <v>10</v>
      </c>
      <c r="K17" s="14">
        <f t="shared" si="2"/>
        <v>247789.03</v>
      </c>
      <c r="L17" s="15">
        <f t="shared" si="3"/>
        <v>0.65630670306222649</v>
      </c>
      <c r="M17" s="163"/>
      <c r="N17" s="163"/>
      <c r="O17" s="62">
        <f t="shared" si="4"/>
        <v>0</v>
      </c>
      <c r="P17" s="190"/>
    </row>
    <row r="18" spans="1:20" x14ac:dyDescent="0.2">
      <c r="A18" s="139" t="s">
        <v>53</v>
      </c>
      <c r="B18" s="14">
        <v>688065.66</v>
      </c>
      <c r="C18" s="11">
        <v>566494.04</v>
      </c>
      <c r="D18" s="11">
        <v>0</v>
      </c>
      <c r="E18" s="11">
        <v>500404</v>
      </c>
      <c r="F18" s="14">
        <v>0</v>
      </c>
      <c r="G18" s="14">
        <f t="shared" si="0"/>
        <v>66090.040000000037</v>
      </c>
      <c r="H18" s="11">
        <v>6930.04</v>
      </c>
      <c r="I18" s="14">
        <v>59160</v>
      </c>
      <c r="J18" s="14">
        <v>0</v>
      </c>
      <c r="K18" s="14">
        <f t="shared" si="2"/>
        <v>66090.039999999994</v>
      </c>
      <c r="L18" s="15">
        <f t="shared" si="3"/>
        <v>0</v>
      </c>
      <c r="M18" s="163"/>
      <c r="N18" s="163"/>
      <c r="O18" s="62">
        <f t="shared" si="4"/>
        <v>0</v>
      </c>
      <c r="P18" s="190"/>
    </row>
    <row r="19" spans="1:20" hidden="1" x14ac:dyDescent="0.2">
      <c r="A19" s="139" t="s">
        <v>27</v>
      </c>
      <c r="B19" s="14">
        <v>0</v>
      </c>
      <c r="C19" s="11">
        <v>0</v>
      </c>
      <c r="D19" s="11">
        <v>0</v>
      </c>
      <c r="E19" s="11">
        <v>0</v>
      </c>
      <c r="F19" s="14">
        <v>0</v>
      </c>
      <c r="G19" s="14">
        <f t="shared" si="0"/>
        <v>0</v>
      </c>
      <c r="H19" s="11">
        <v>0</v>
      </c>
      <c r="I19" s="14">
        <v>0</v>
      </c>
      <c r="J19" s="14">
        <v>0</v>
      </c>
      <c r="K19" s="14">
        <f t="shared" si="2"/>
        <v>0</v>
      </c>
      <c r="L19" s="15">
        <f t="shared" si="3"/>
        <v>0</v>
      </c>
      <c r="M19" s="163"/>
      <c r="N19" s="163"/>
      <c r="O19" s="62">
        <f t="shared" si="4"/>
        <v>0</v>
      </c>
      <c r="P19" s="190"/>
    </row>
    <row r="20" spans="1:20" x14ac:dyDescent="0.2">
      <c r="A20" s="139" t="s">
        <v>28</v>
      </c>
      <c r="B20" s="14">
        <v>60011</v>
      </c>
      <c r="C20" s="11">
        <v>35007.089999999997</v>
      </c>
      <c r="D20" s="11">
        <v>0</v>
      </c>
      <c r="E20" s="11">
        <v>0</v>
      </c>
      <c r="F20" s="14">
        <v>0</v>
      </c>
      <c r="G20" s="14">
        <f t="shared" si="0"/>
        <v>35007.089999999997</v>
      </c>
      <c r="H20" s="11">
        <v>35017.089999999997</v>
      </c>
      <c r="I20" s="14">
        <v>0</v>
      </c>
      <c r="J20" s="14">
        <v>10</v>
      </c>
      <c r="K20" s="14">
        <f t="shared" si="2"/>
        <v>35007.089999999997</v>
      </c>
      <c r="L20" s="15">
        <f t="shared" si="3"/>
        <v>0</v>
      </c>
      <c r="M20" s="163"/>
      <c r="N20" s="163"/>
      <c r="O20" s="62">
        <f t="shared" si="4"/>
        <v>0</v>
      </c>
      <c r="P20" s="152"/>
    </row>
    <row r="21" spans="1:20" ht="27" x14ac:dyDescent="0.2">
      <c r="A21" s="139" t="s">
        <v>136</v>
      </c>
      <c r="B21" s="14">
        <v>506205</v>
      </c>
      <c r="C21" s="11">
        <v>0</v>
      </c>
      <c r="D21" s="11">
        <v>0</v>
      </c>
      <c r="E21" s="11">
        <v>0</v>
      </c>
      <c r="F21" s="14"/>
      <c r="G21" s="14">
        <f>+C21+D21-E21</f>
        <v>0</v>
      </c>
      <c r="H21" s="11">
        <v>0</v>
      </c>
      <c r="I21" s="14">
        <v>0</v>
      </c>
      <c r="J21" s="14">
        <v>0</v>
      </c>
      <c r="K21" s="14">
        <v>0</v>
      </c>
      <c r="L21" s="15">
        <f>+F21</f>
        <v>0</v>
      </c>
      <c r="M21" s="163"/>
      <c r="N21" s="163"/>
      <c r="O21" s="62">
        <f t="shared" si="4"/>
        <v>0</v>
      </c>
      <c r="P21" s="152"/>
    </row>
    <row r="22" spans="1:20" x14ac:dyDescent="0.2">
      <c r="A22" s="139" t="s">
        <v>29</v>
      </c>
      <c r="B22" s="14">
        <v>27972730</v>
      </c>
      <c r="C22" s="11">
        <v>20550642</v>
      </c>
      <c r="D22" s="11">
        <v>50611.87</v>
      </c>
      <c r="E22" s="11">
        <v>0</v>
      </c>
      <c r="F22" s="14">
        <f>+E22/C22</f>
        <v>0</v>
      </c>
      <c r="G22" s="14">
        <f t="shared" si="0"/>
        <v>20601253.870000001</v>
      </c>
      <c r="H22" s="11">
        <f>2940179.81+16247572.86</f>
        <v>19187752.669999998</v>
      </c>
      <c r="I22" s="14">
        <v>1413511.2</v>
      </c>
      <c r="J22" s="14">
        <v>10</v>
      </c>
      <c r="K22" s="14">
        <f>H22+I22-J22</f>
        <v>20601253.869999997</v>
      </c>
      <c r="L22" s="15">
        <f t="shared" si="3"/>
        <v>0</v>
      </c>
      <c r="M22" s="163"/>
      <c r="N22" s="163"/>
      <c r="O22" s="62">
        <f>+K22-G22</f>
        <v>0</v>
      </c>
      <c r="P22" s="152"/>
    </row>
    <row r="23" spans="1:20" x14ac:dyDescent="0.2">
      <c r="A23" s="139" t="s">
        <v>30</v>
      </c>
      <c r="B23" s="14">
        <v>22883119</v>
      </c>
      <c r="C23" s="11">
        <v>13455805.789999999</v>
      </c>
      <c r="D23" s="11">
        <v>0</v>
      </c>
      <c r="E23" s="14">
        <v>12793741.460000001</v>
      </c>
      <c r="F23" s="14">
        <f>+E23/C23</f>
        <v>0.95079712502301217</v>
      </c>
      <c r="G23" s="14">
        <f t="shared" si="0"/>
        <v>662064.32999999821</v>
      </c>
      <c r="H23" s="11">
        <v>1403269.13</v>
      </c>
      <c r="I23" s="14">
        <f>500139.2+25370</f>
        <v>525509.19999999995</v>
      </c>
      <c r="J23" s="14">
        <f>59079+1207635</f>
        <v>1266714</v>
      </c>
      <c r="K23" s="14">
        <f>H23+I23-J23</f>
        <v>662064.32999999984</v>
      </c>
      <c r="L23" s="15">
        <f t="shared" si="3"/>
        <v>0.95079712502301217</v>
      </c>
      <c r="M23" s="163"/>
      <c r="N23" s="163"/>
      <c r="O23" s="107">
        <f>+K23-G23</f>
        <v>1.6298145055770874E-9</v>
      </c>
      <c r="P23" s="157"/>
      <c r="S23" s="141"/>
      <c r="T23" s="144"/>
    </row>
    <row r="24" spans="1:20" x14ac:dyDescent="0.2">
      <c r="A24" s="139" t="s">
        <v>57</v>
      </c>
      <c r="B24" s="11">
        <v>1483495.05</v>
      </c>
      <c r="C24" s="11">
        <v>1483495.05</v>
      </c>
      <c r="D24" s="11">
        <v>3440.67</v>
      </c>
      <c r="E24" s="14">
        <v>0</v>
      </c>
      <c r="F24" s="14">
        <f>+E24/C24</f>
        <v>0</v>
      </c>
      <c r="G24" s="14">
        <f>+C24+D24-E24</f>
        <v>1486935.72</v>
      </c>
      <c r="H24" s="11">
        <v>1047739.95</v>
      </c>
      <c r="I24" s="14">
        <v>444195.77</v>
      </c>
      <c r="J24" s="14">
        <v>5000</v>
      </c>
      <c r="K24" s="14">
        <f>H24+I24-J24</f>
        <v>1486935.72</v>
      </c>
      <c r="L24" s="15">
        <f>+F24</f>
        <v>0</v>
      </c>
      <c r="M24" s="163"/>
      <c r="N24" s="163"/>
      <c r="O24" s="107">
        <f>+K24-G24</f>
        <v>0</v>
      </c>
      <c r="P24" s="157"/>
      <c r="S24" s="141"/>
      <c r="T24" s="144"/>
    </row>
    <row r="25" spans="1:20" ht="25.5" customHeight="1" x14ac:dyDescent="0.2">
      <c r="A25" s="139" t="s">
        <v>135</v>
      </c>
      <c r="B25" s="14">
        <v>200000</v>
      </c>
      <c r="C25" s="11">
        <v>200000</v>
      </c>
      <c r="D25" s="11">
        <v>113.52</v>
      </c>
      <c r="E25" s="14">
        <v>0</v>
      </c>
      <c r="F25" s="14">
        <f>+E25/C25</f>
        <v>0</v>
      </c>
      <c r="G25" s="14">
        <f>+C25+D25-E25</f>
        <v>200113.52</v>
      </c>
      <c r="H25" s="11">
        <v>25113.52</v>
      </c>
      <c r="I25" s="14">
        <v>180000</v>
      </c>
      <c r="J25" s="14">
        <v>5000</v>
      </c>
      <c r="K25" s="14">
        <f>H25+I25-J25</f>
        <v>200113.52</v>
      </c>
      <c r="L25" s="15">
        <f>+F25</f>
        <v>0</v>
      </c>
      <c r="M25" s="163"/>
      <c r="N25" s="163"/>
      <c r="O25" s="107">
        <f>+K25-G25</f>
        <v>0</v>
      </c>
      <c r="P25" s="157"/>
      <c r="S25" s="141"/>
      <c r="T25" s="144"/>
    </row>
    <row r="26" spans="1:20" s="5" customFormat="1" x14ac:dyDescent="0.2">
      <c r="A26" s="20" t="s">
        <v>60</v>
      </c>
      <c r="B26" s="21">
        <f>SUM(B11:B25)</f>
        <v>116707157.33999999</v>
      </c>
      <c r="C26" s="21">
        <f>SUM(C11:C25)</f>
        <v>71163410.75</v>
      </c>
      <c r="D26" s="21">
        <f t="shared" ref="D26:K26" si="5">SUM(D11:D25)</f>
        <v>54166.06</v>
      </c>
      <c r="E26" s="21">
        <f t="shared" si="5"/>
        <v>45707373.519999996</v>
      </c>
      <c r="F26" s="21">
        <f t="shared" si="5"/>
        <v>6.1708649238869437</v>
      </c>
      <c r="G26" s="21">
        <f t="shared" si="5"/>
        <v>25510203.289999999</v>
      </c>
      <c r="H26" s="21">
        <f t="shared" si="5"/>
        <v>24613799.479999997</v>
      </c>
      <c r="I26" s="21">
        <f t="shared" si="5"/>
        <v>4877627.4000000004</v>
      </c>
      <c r="J26" s="21">
        <f t="shared" si="5"/>
        <v>3981223.59</v>
      </c>
      <c r="K26" s="21">
        <f t="shared" si="5"/>
        <v>25510203.289999995</v>
      </c>
      <c r="L26" s="23"/>
      <c r="M26" s="164"/>
      <c r="N26" s="164"/>
      <c r="O26" s="118">
        <f>SUM(O11:O23)</f>
        <v>-6.9849193096160889E-10</v>
      </c>
      <c r="P26" s="203"/>
      <c r="Q26" s="143"/>
      <c r="R26" s="143">
        <f>+C26+D26</f>
        <v>71217576.810000002</v>
      </c>
    </row>
    <row r="27" spans="1:20" s="17" customFormat="1" x14ac:dyDescent="0.25">
      <c r="A27" s="139" t="s">
        <v>18</v>
      </c>
      <c r="B27" s="10">
        <v>9668787.5</v>
      </c>
      <c r="C27" s="10">
        <f>+B27-8808992.11</f>
        <v>859795.3900000006</v>
      </c>
      <c r="D27" s="11">
        <v>0</v>
      </c>
      <c r="E27" s="10">
        <v>126202.22</v>
      </c>
      <c r="F27" s="12">
        <f>+E27/C27</f>
        <v>0.14678168953662327</v>
      </c>
      <c r="G27" s="109">
        <f t="shared" ref="G27:G40" si="6">+C27+D27-E27</f>
        <v>733593.17000000062</v>
      </c>
      <c r="H27" s="11">
        <v>760336.44</v>
      </c>
      <c r="I27" s="14">
        <f>35750.7+49054.32+10000+17400</f>
        <v>112205.01999999999</v>
      </c>
      <c r="J27" s="14">
        <f>42293+3275.91+3277.52+90101.86</f>
        <v>138948.29</v>
      </c>
      <c r="K27" s="14">
        <f>H27+I27-J27</f>
        <v>733593.16999999993</v>
      </c>
      <c r="L27" s="15">
        <f>+F27</f>
        <v>0.14678168953662327</v>
      </c>
      <c r="M27" s="163"/>
      <c r="N27" s="163"/>
      <c r="O27" s="62">
        <f t="shared" ref="O27:O40" si="7">+K27-G27</f>
        <v>0</v>
      </c>
      <c r="P27" s="188"/>
      <c r="Q27" s="153"/>
      <c r="R27" s="142"/>
    </row>
    <row r="28" spans="1:20" x14ac:dyDescent="0.2">
      <c r="A28" s="139" t="s">
        <v>20</v>
      </c>
      <c r="B28" s="10">
        <v>27138333.23</v>
      </c>
      <c r="C28" s="10">
        <f>+B28-26415966.23</f>
        <v>722367</v>
      </c>
      <c r="D28" s="11">
        <v>0</v>
      </c>
      <c r="E28" s="10">
        <v>827988.6</v>
      </c>
      <c r="F28" s="12">
        <f t="shared" ref="F28:F33" si="8">+E28/C28</f>
        <v>1.1462159816270676</v>
      </c>
      <c r="G28" s="10">
        <f t="shared" si="6"/>
        <v>-105621.59999999998</v>
      </c>
      <c r="H28" s="13">
        <v>1247074.73</v>
      </c>
      <c r="I28" s="14">
        <f>171846+1000</f>
        <v>172846</v>
      </c>
      <c r="J28" s="14">
        <f>1307677+16708.93+21550.06+179606.34</f>
        <v>1525542.33</v>
      </c>
      <c r="K28" s="14">
        <f t="shared" ref="K28:K35" si="9">H28+I28-J28</f>
        <v>-105621.60000000009</v>
      </c>
      <c r="L28" s="15">
        <f t="shared" ref="L28:L40" si="10">+F28</f>
        <v>1.1462159816270676</v>
      </c>
      <c r="M28" s="163"/>
      <c r="N28" s="163"/>
      <c r="O28" s="62">
        <f t="shared" si="7"/>
        <v>-1.1641532182693481E-10</v>
      </c>
      <c r="P28" s="184"/>
      <c r="Q28" s="151"/>
    </row>
    <row r="29" spans="1:20" x14ac:dyDescent="0.2">
      <c r="A29" s="139" t="s">
        <v>21</v>
      </c>
      <c r="B29" s="10">
        <v>321506.03999999998</v>
      </c>
      <c r="C29" s="10">
        <f>+B29-280892.37</f>
        <v>40613.669999999984</v>
      </c>
      <c r="D29" s="11">
        <v>0</v>
      </c>
      <c r="E29" s="11">
        <v>40613.67</v>
      </c>
      <c r="F29" s="12">
        <f t="shared" si="8"/>
        <v>1.0000000000000004</v>
      </c>
      <c r="G29" s="109">
        <f t="shared" si="6"/>
        <v>0</v>
      </c>
      <c r="H29" s="13">
        <v>0</v>
      </c>
      <c r="I29" s="14">
        <v>0</v>
      </c>
      <c r="J29" s="14">
        <v>0</v>
      </c>
      <c r="K29" s="14">
        <f t="shared" si="9"/>
        <v>0</v>
      </c>
      <c r="L29" s="15">
        <f t="shared" si="10"/>
        <v>1.0000000000000004</v>
      </c>
      <c r="M29" s="163"/>
      <c r="N29" s="163"/>
      <c r="O29" s="62">
        <f t="shared" si="7"/>
        <v>0</v>
      </c>
      <c r="P29" s="183"/>
    </row>
    <row r="30" spans="1:20" x14ac:dyDescent="0.2">
      <c r="A30" s="139" t="s">
        <v>22</v>
      </c>
      <c r="B30" s="10">
        <v>570803.89</v>
      </c>
      <c r="C30" s="10">
        <f>+B30-491970.23</f>
        <v>78833.660000000033</v>
      </c>
      <c r="D30" s="11">
        <v>0</v>
      </c>
      <c r="E30" s="11">
        <v>78833.66</v>
      </c>
      <c r="F30" s="12">
        <f t="shared" si="8"/>
        <v>0.99999999999999967</v>
      </c>
      <c r="G30" s="109">
        <f t="shared" si="6"/>
        <v>0</v>
      </c>
      <c r="H30" s="13">
        <v>0</v>
      </c>
      <c r="I30" s="14">
        <v>0</v>
      </c>
      <c r="J30" s="14">
        <v>0</v>
      </c>
      <c r="K30" s="14">
        <f t="shared" si="9"/>
        <v>0</v>
      </c>
      <c r="L30" s="15">
        <f t="shared" si="10"/>
        <v>0.99999999999999967</v>
      </c>
      <c r="M30" s="163"/>
      <c r="N30" s="163"/>
      <c r="O30" s="62">
        <f t="shared" si="7"/>
        <v>0</v>
      </c>
      <c r="P30" s="183"/>
    </row>
    <row r="31" spans="1:20" x14ac:dyDescent="0.2">
      <c r="A31" s="139" t="s">
        <v>23</v>
      </c>
      <c r="B31" s="10">
        <v>1307693.44</v>
      </c>
      <c r="C31" s="10">
        <f>+B31-1273287.15</f>
        <v>34406.290000000037</v>
      </c>
      <c r="D31" s="11">
        <v>0</v>
      </c>
      <c r="E31" s="11">
        <v>34406.29</v>
      </c>
      <c r="F31" s="12">
        <f t="shared" si="8"/>
        <v>0.99999999999999889</v>
      </c>
      <c r="G31" s="109">
        <f t="shared" si="6"/>
        <v>0</v>
      </c>
      <c r="H31" s="13">
        <v>0</v>
      </c>
      <c r="I31" s="14">
        <v>0</v>
      </c>
      <c r="J31" s="14">
        <v>0</v>
      </c>
      <c r="K31" s="14">
        <f t="shared" si="9"/>
        <v>0</v>
      </c>
      <c r="L31" s="15">
        <f t="shared" si="10"/>
        <v>0.99999999999999889</v>
      </c>
      <c r="M31" s="163"/>
      <c r="N31" s="163"/>
      <c r="O31" s="62">
        <f t="shared" si="7"/>
        <v>0</v>
      </c>
      <c r="P31" s="183"/>
    </row>
    <row r="32" spans="1:20" x14ac:dyDescent="0.2">
      <c r="A32" s="139" t="s">
        <v>24</v>
      </c>
      <c r="B32" s="10">
        <v>14234360.859999999</v>
      </c>
      <c r="C32" s="10">
        <f>+B32-14197791.76</f>
        <v>36569.099999999627</v>
      </c>
      <c r="D32" s="11">
        <v>0</v>
      </c>
      <c r="E32" s="10">
        <v>208.8</v>
      </c>
      <c r="F32" s="12">
        <f t="shared" si="8"/>
        <v>5.7097385497592813E-3</v>
      </c>
      <c r="G32" s="109">
        <f t="shared" si="6"/>
        <v>36360.299999999625</v>
      </c>
      <c r="H32" s="13">
        <v>-340080.7</v>
      </c>
      <c r="I32" s="14">
        <v>782752</v>
      </c>
      <c r="J32" s="14">
        <f>280823+125488</f>
        <v>406311</v>
      </c>
      <c r="K32" s="14">
        <f t="shared" si="9"/>
        <v>36360.299999999988</v>
      </c>
      <c r="L32" s="15">
        <f t="shared" si="10"/>
        <v>5.7097385497592813E-3</v>
      </c>
      <c r="M32" s="163"/>
      <c r="N32" s="163"/>
      <c r="O32" s="62">
        <f t="shared" si="7"/>
        <v>3.637978807091713E-10</v>
      </c>
      <c r="P32" s="183"/>
      <c r="Q32" s="151"/>
    </row>
    <row r="33" spans="1:20" x14ac:dyDescent="0.2">
      <c r="A33" s="139" t="s">
        <v>25</v>
      </c>
      <c r="B33" s="10">
        <v>658261.61</v>
      </c>
      <c r="C33" s="10">
        <f>+B33-367499.68</f>
        <v>290761.93</v>
      </c>
      <c r="D33" s="11">
        <v>0</v>
      </c>
      <c r="E33" s="10">
        <v>281389.86</v>
      </c>
      <c r="F33" s="12">
        <f t="shared" si="8"/>
        <v>0.96776720391146109</v>
      </c>
      <c r="G33" s="109">
        <f t="shared" si="6"/>
        <v>9372.070000000007</v>
      </c>
      <c r="H33" s="13">
        <v>56340.94</v>
      </c>
      <c r="I33" s="14">
        <v>0</v>
      </c>
      <c r="J33" s="14">
        <v>46968.87</v>
      </c>
      <c r="K33" s="14">
        <f t="shared" si="9"/>
        <v>9372.07</v>
      </c>
      <c r="L33" s="15">
        <f t="shared" si="10"/>
        <v>0.96776720391146109</v>
      </c>
      <c r="M33" s="163"/>
      <c r="N33" s="163"/>
      <c r="O33" s="62">
        <f t="shared" si="7"/>
        <v>0</v>
      </c>
      <c r="P33" s="183"/>
    </row>
    <row r="34" spans="1:20" x14ac:dyDescent="0.2">
      <c r="A34" s="139" t="s">
        <v>53</v>
      </c>
      <c r="B34" s="10">
        <v>158979.12</v>
      </c>
      <c r="C34" s="10">
        <f>+B34</f>
        <v>158979.12</v>
      </c>
      <c r="D34" s="11">
        <v>0</v>
      </c>
      <c r="E34" s="11">
        <v>120000</v>
      </c>
      <c r="F34" s="12">
        <v>0</v>
      </c>
      <c r="G34" s="201">
        <f t="shared" si="6"/>
        <v>38979.119999999995</v>
      </c>
      <c r="H34" s="11">
        <v>43979.12</v>
      </c>
      <c r="I34" s="14">
        <v>0</v>
      </c>
      <c r="J34" s="14">
        <v>5000</v>
      </c>
      <c r="K34" s="14">
        <f t="shared" si="9"/>
        <v>38979.120000000003</v>
      </c>
      <c r="L34" s="15">
        <f t="shared" si="10"/>
        <v>0</v>
      </c>
      <c r="M34" s="163"/>
      <c r="N34" s="163"/>
      <c r="O34" s="62">
        <f t="shared" si="7"/>
        <v>0</v>
      </c>
      <c r="P34" s="183"/>
    </row>
    <row r="35" spans="1:20" x14ac:dyDescent="0.2">
      <c r="A35" s="139" t="s">
        <v>28</v>
      </c>
      <c r="B35" s="10">
        <v>47798.07</v>
      </c>
      <c r="C35" s="10">
        <f>+B35-23516.14</f>
        <v>24281.93</v>
      </c>
      <c r="D35" s="11">
        <v>0</v>
      </c>
      <c r="E35" s="11">
        <v>0</v>
      </c>
      <c r="F35" s="12">
        <v>0</v>
      </c>
      <c r="G35" s="201">
        <f t="shared" si="6"/>
        <v>24281.93</v>
      </c>
      <c r="H35" s="11">
        <v>24281.93</v>
      </c>
      <c r="I35" s="14">
        <v>0</v>
      </c>
      <c r="J35" s="14">
        <v>0</v>
      </c>
      <c r="K35" s="14">
        <f t="shared" si="9"/>
        <v>24281.93</v>
      </c>
      <c r="L35" s="15">
        <f t="shared" si="10"/>
        <v>0</v>
      </c>
      <c r="M35" s="163"/>
      <c r="N35" s="163"/>
      <c r="O35" s="62">
        <f t="shared" si="7"/>
        <v>0</v>
      </c>
      <c r="P35" s="152"/>
    </row>
    <row r="36" spans="1:20" x14ac:dyDescent="0.2">
      <c r="A36" s="139" t="s">
        <v>29</v>
      </c>
      <c r="B36" s="10">
        <v>27972730</v>
      </c>
      <c r="C36" s="10">
        <f>+B36-27809818.06</f>
        <v>162911.94000000134</v>
      </c>
      <c r="D36" s="11">
        <v>186451.15</v>
      </c>
      <c r="E36" s="11">
        <v>0</v>
      </c>
      <c r="F36" s="12">
        <f>+E36/C36</f>
        <v>0</v>
      </c>
      <c r="G36" s="109">
        <f t="shared" si="6"/>
        <v>349363.09000000136</v>
      </c>
      <c r="H36" s="13">
        <v>656033.13</v>
      </c>
      <c r="I36" s="14">
        <f>-1</f>
        <v>-1</v>
      </c>
      <c r="J36" s="14">
        <f>219666.96+67322.53+19679.55</f>
        <v>306669.03999999998</v>
      </c>
      <c r="K36" s="14">
        <f>H36+I36-J36</f>
        <v>349363.09</v>
      </c>
      <c r="L36" s="15">
        <f t="shared" si="10"/>
        <v>0</v>
      </c>
      <c r="M36" s="163"/>
      <c r="N36" s="163"/>
      <c r="O36" s="62">
        <f t="shared" si="7"/>
        <v>-1.3387762010097504E-9</v>
      </c>
      <c r="P36" s="184"/>
    </row>
    <row r="37" spans="1:20" x14ac:dyDescent="0.2">
      <c r="A37" s="139" t="s">
        <v>30</v>
      </c>
      <c r="B37" s="10">
        <v>21170988.52</v>
      </c>
      <c r="C37" s="10">
        <f>+B37-21163370.79</f>
        <v>7617.730000000447</v>
      </c>
      <c r="D37" s="11">
        <v>0</v>
      </c>
      <c r="E37" s="10">
        <v>0</v>
      </c>
      <c r="F37" s="12">
        <f>+E37/C37</f>
        <v>0</v>
      </c>
      <c r="G37" s="109">
        <f t="shared" si="6"/>
        <v>7617.730000000447</v>
      </c>
      <c r="H37" s="13">
        <v>113156.96</v>
      </c>
      <c r="I37" s="14">
        <f>63664.06+25043.71</f>
        <v>88707.76999999999</v>
      </c>
      <c r="J37" s="14">
        <f>170257+6000+17990</f>
        <v>194247</v>
      </c>
      <c r="K37" s="14">
        <f>H37+I37-J37</f>
        <v>7617.7299999999814</v>
      </c>
      <c r="L37" s="15">
        <f t="shared" si="10"/>
        <v>0</v>
      </c>
      <c r="M37" s="163"/>
      <c r="N37" s="163"/>
      <c r="O37" s="107">
        <f t="shared" si="7"/>
        <v>-4.6566128730773926E-10</v>
      </c>
      <c r="P37" s="185"/>
      <c r="S37" s="141"/>
      <c r="T37" s="144"/>
    </row>
    <row r="38" spans="1:20" ht="27" x14ac:dyDescent="0.2">
      <c r="A38" s="139" t="s">
        <v>56</v>
      </c>
      <c r="B38" s="10">
        <v>1500000</v>
      </c>
      <c r="C38" s="10">
        <f>1500000-1499965.2</f>
        <v>34.800000000046566</v>
      </c>
      <c r="D38" s="11">
        <v>0</v>
      </c>
      <c r="E38" s="10">
        <v>0</v>
      </c>
      <c r="F38" s="12">
        <f>+E38/C38</f>
        <v>0</v>
      </c>
      <c r="G38" s="109">
        <f t="shared" si="6"/>
        <v>34.800000000046566</v>
      </c>
      <c r="H38" s="13">
        <v>34.799999999999997</v>
      </c>
      <c r="I38" s="14">
        <v>0</v>
      </c>
      <c r="J38" s="14">
        <v>0</v>
      </c>
      <c r="K38" s="14">
        <f>H38+I38-J38</f>
        <v>34.799999999999997</v>
      </c>
      <c r="L38" s="15">
        <f t="shared" si="10"/>
        <v>0</v>
      </c>
      <c r="M38" s="163"/>
      <c r="N38" s="163"/>
      <c r="O38" s="107">
        <f t="shared" si="7"/>
        <v>-4.6568970901716966E-11</v>
      </c>
      <c r="P38" s="185"/>
      <c r="S38" s="141"/>
      <c r="T38" s="144"/>
    </row>
    <row r="39" spans="1:20" x14ac:dyDescent="0.2">
      <c r="A39" s="139" t="s">
        <v>58</v>
      </c>
      <c r="B39" s="10">
        <v>8800000</v>
      </c>
      <c r="C39" s="10">
        <f>+B39-8793327.97</f>
        <v>6672.0299999993294</v>
      </c>
      <c r="D39" s="11">
        <v>0</v>
      </c>
      <c r="E39" s="10">
        <v>0</v>
      </c>
      <c r="F39" s="12">
        <f>+E39/C39</f>
        <v>0</v>
      </c>
      <c r="G39" s="109">
        <f t="shared" si="6"/>
        <v>6672.0299999993294</v>
      </c>
      <c r="H39" s="13">
        <v>136749.53</v>
      </c>
      <c r="I39" s="14">
        <v>0</v>
      </c>
      <c r="J39" s="14">
        <f>75804.55+37902.27+11370.68+5000</f>
        <v>130077.5</v>
      </c>
      <c r="K39" s="14">
        <f>H39+I39-J39</f>
        <v>6672.0299999999988</v>
      </c>
      <c r="L39" s="15">
        <f t="shared" si="10"/>
        <v>0</v>
      </c>
      <c r="M39" s="163"/>
      <c r="N39" s="163"/>
      <c r="O39" s="107">
        <f t="shared" si="7"/>
        <v>6.6938810050487518E-10</v>
      </c>
      <c r="P39" s="185"/>
      <c r="S39" s="141"/>
      <c r="T39" s="144"/>
    </row>
    <row r="40" spans="1:20" x14ac:dyDescent="0.2">
      <c r="A40" s="139" t="s">
        <v>57</v>
      </c>
      <c r="B40" s="10">
        <v>3362600</v>
      </c>
      <c r="C40" s="10">
        <f>+B40-3361389.36</f>
        <v>1210.6400000001304</v>
      </c>
      <c r="D40" s="11">
        <v>0</v>
      </c>
      <c r="E40" s="10">
        <v>0</v>
      </c>
      <c r="F40" s="12">
        <f>+E40/C40</f>
        <v>0</v>
      </c>
      <c r="G40" s="109">
        <f t="shared" si="6"/>
        <v>1210.6400000001304</v>
      </c>
      <c r="H40" s="13">
        <v>54023.49</v>
      </c>
      <c r="I40" s="14">
        <v>0</v>
      </c>
      <c r="J40" s="14">
        <f>28977.48+14488.74+4346.63+5000</f>
        <v>52812.85</v>
      </c>
      <c r="K40" s="14">
        <f>H40+I40-J40</f>
        <v>1210.6399999999994</v>
      </c>
      <c r="L40" s="15">
        <f t="shared" si="10"/>
        <v>0</v>
      </c>
      <c r="M40" s="163"/>
      <c r="N40" s="163"/>
      <c r="O40" s="107">
        <f t="shared" si="7"/>
        <v>-1.3096723705530167E-10</v>
      </c>
      <c r="P40" s="185"/>
      <c r="S40" s="141"/>
      <c r="T40" s="144"/>
    </row>
    <row r="41" spans="1:20" s="5" customFormat="1" x14ac:dyDescent="0.2">
      <c r="A41" s="20" t="s">
        <v>51</v>
      </c>
      <c r="B41" s="21">
        <f t="shared" ref="B41:K41" si="11">SUM(B27:B37)</f>
        <v>103250242.27999999</v>
      </c>
      <c r="C41" s="21">
        <f t="shared" si="11"/>
        <v>2417137.7600000021</v>
      </c>
      <c r="D41" s="21">
        <f t="shared" si="11"/>
        <v>186451.15</v>
      </c>
      <c r="E41" s="21">
        <f t="shared" si="11"/>
        <v>1509643.1</v>
      </c>
      <c r="F41" s="21">
        <f t="shared" si="11"/>
        <v>5.2664746136249105</v>
      </c>
      <c r="G41" s="21">
        <f t="shared" si="11"/>
        <v>1093945.8100000019</v>
      </c>
      <c r="H41" s="21">
        <f t="shared" si="11"/>
        <v>2561122.5499999998</v>
      </c>
      <c r="I41" s="21">
        <f t="shared" si="11"/>
        <v>1156509.79</v>
      </c>
      <c r="J41" s="21">
        <f t="shared" si="11"/>
        <v>2623686.5300000003</v>
      </c>
      <c r="K41" s="21">
        <f t="shared" si="11"/>
        <v>1093945.8099999998</v>
      </c>
      <c r="L41" s="23"/>
      <c r="M41" s="164"/>
      <c r="N41" s="164"/>
      <c r="O41" s="61"/>
      <c r="P41" s="203"/>
      <c r="Q41" s="143"/>
      <c r="R41" s="143"/>
    </row>
    <row r="42" spans="1:20" s="17" customFormat="1" x14ac:dyDescent="0.25">
      <c r="A42" s="139" t="s">
        <v>18</v>
      </c>
      <c r="B42" s="10">
        <f>+C42</f>
        <v>557287.6400000006</v>
      </c>
      <c r="C42" s="10">
        <f>9497181.34-8522902.7-416991</f>
        <v>557287.6400000006</v>
      </c>
      <c r="D42" s="11">
        <v>0</v>
      </c>
      <c r="E42" s="10">
        <v>2038.23</v>
      </c>
      <c r="F42" s="12">
        <f>+E42/C42</f>
        <v>3.657411099230548E-3</v>
      </c>
      <c r="G42" s="10">
        <f>+C42+D42-E42</f>
        <v>555249.41000000061</v>
      </c>
      <c r="H42" s="13">
        <f>362224.72-0.47</f>
        <v>362224.25</v>
      </c>
      <c r="I42" s="14">
        <f>22013.2+172259.48</f>
        <v>194272.68000000002</v>
      </c>
      <c r="J42" s="14">
        <f>-4302.52+5550.04</f>
        <v>1247.5199999999995</v>
      </c>
      <c r="K42" s="14">
        <f>H42+I42-J42</f>
        <v>555249.41</v>
      </c>
      <c r="L42" s="15">
        <f>+F42</f>
        <v>3.657411099230548E-3</v>
      </c>
      <c r="M42" s="163"/>
      <c r="N42" s="163"/>
      <c r="O42" s="155">
        <f t="shared" ref="O42:O51" si="12">+K42-G42</f>
        <v>0</v>
      </c>
      <c r="P42" s="202"/>
      <c r="Q42" s="142"/>
      <c r="R42" s="142"/>
    </row>
    <row r="43" spans="1:20" x14ac:dyDescent="0.2">
      <c r="A43" s="139" t="s">
        <v>20</v>
      </c>
      <c r="B43" s="10">
        <v>0</v>
      </c>
      <c r="C43" s="10">
        <f>981063.54-174602.54</f>
        <v>806461</v>
      </c>
      <c r="D43" s="11">
        <v>0</v>
      </c>
      <c r="E43" s="10">
        <v>0</v>
      </c>
      <c r="F43" s="12">
        <f t="shared" ref="F43:F52" si="13">+E43/C43</f>
        <v>0</v>
      </c>
      <c r="G43" s="10">
        <f>+C43+D43-E43</f>
        <v>806461</v>
      </c>
      <c r="H43" s="13">
        <v>1795340.56</v>
      </c>
      <c r="I43" s="14">
        <v>1162</v>
      </c>
      <c r="J43" s="14">
        <f>272555.03+160187.53+557299</f>
        <v>990041.56</v>
      </c>
      <c r="K43" s="14">
        <f t="shared" ref="K43:K68" si="14">H43+I43-J43</f>
        <v>806461</v>
      </c>
      <c r="L43" s="15">
        <f t="shared" ref="L43:L52" si="15">+F43</f>
        <v>0</v>
      </c>
      <c r="M43" s="163"/>
      <c r="N43" s="163"/>
      <c r="O43" s="62">
        <f>+K43-G43</f>
        <v>0</v>
      </c>
      <c r="P43" s="205"/>
    </row>
    <row r="44" spans="1:20" x14ac:dyDescent="0.2">
      <c r="A44" s="139" t="s">
        <v>21</v>
      </c>
      <c r="B44" s="10">
        <f t="shared" ref="B44:B52" si="16">+C44</f>
        <v>465.82999999998719</v>
      </c>
      <c r="C44" s="10">
        <f>266576.99-80893-185218.16</f>
        <v>465.82999999998719</v>
      </c>
      <c r="D44" s="11">
        <v>0</v>
      </c>
      <c r="E44" s="10">
        <v>0</v>
      </c>
      <c r="F44" s="12">
        <f t="shared" si="13"/>
        <v>0</v>
      </c>
      <c r="G44" s="10">
        <f>+C44+D44-E44</f>
        <v>465.82999999998719</v>
      </c>
      <c r="H44" s="13">
        <v>465.83</v>
      </c>
      <c r="I44" s="14">
        <v>0</v>
      </c>
      <c r="J44" s="14">
        <v>0</v>
      </c>
      <c r="K44" s="14">
        <f t="shared" si="14"/>
        <v>465.83</v>
      </c>
      <c r="L44" s="15">
        <f t="shared" si="15"/>
        <v>0</v>
      </c>
      <c r="M44" s="163"/>
      <c r="N44" s="163"/>
      <c r="O44" s="155">
        <f t="shared" si="12"/>
        <v>1.2789769243681803E-11</v>
      </c>
      <c r="P44" s="183"/>
    </row>
    <row r="45" spans="1:20" x14ac:dyDescent="0.2">
      <c r="A45" s="139" t="s">
        <v>22</v>
      </c>
      <c r="B45" s="10">
        <f t="shared" si="16"/>
        <v>6067.4599999999627</v>
      </c>
      <c r="C45" s="10">
        <f>375412.66-201977-167368.2</f>
        <v>6067.4599999999627</v>
      </c>
      <c r="D45" s="10">
        <v>149.51</v>
      </c>
      <c r="E45" s="10">
        <v>0</v>
      </c>
      <c r="F45" s="12">
        <f t="shared" si="13"/>
        <v>0</v>
      </c>
      <c r="G45" s="10">
        <f t="shared" ref="G45:G50" si="17">+C45+D45-E45</f>
        <v>6216.969999999963</v>
      </c>
      <c r="H45" s="13">
        <v>6216.97</v>
      </c>
      <c r="I45" s="14">
        <v>0</v>
      </c>
      <c r="J45" s="14">
        <v>0</v>
      </c>
      <c r="K45" s="14">
        <f t="shared" si="14"/>
        <v>6216.97</v>
      </c>
      <c r="L45" s="15">
        <f t="shared" si="15"/>
        <v>0</v>
      </c>
      <c r="M45" s="163"/>
      <c r="N45" s="163"/>
      <c r="O45" s="62">
        <f t="shared" si="12"/>
        <v>3.7289282772690058E-11</v>
      </c>
      <c r="P45" s="183"/>
    </row>
    <row r="46" spans="1:20" x14ac:dyDescent="0.2">
      <c r="A46" s="139" t="s">
        <v>23</v>
      </c>
      <c r="B46" s="10">
        <f t="shared" si="16"/>
        <v>17016.04999999993</v>
      </c>
      <c r="C46" s="10">
        <f>1302246.39-788192.61-497037.73</f>
        <v>17016.04999999993</v>
      </c>
      <c r="D46" s="10">
        <v>408.58</v>
      </c>
      <c r="E46" s="10">
        <v>0</v>
      </c>
      <c r="F46" s="12">
        <f t="shared" si="13"/>
        <v>0</v>
      </c>
      <c r="G46" s="10">
        <f t="shared" si="17"/>
        <v>17424.629999999932</v>
      </c>
      <c r="H46" s="13">
        <v>17424.63</v>
      </c>
      <c r="I46" s="14">
        <v>0</v>
      </c>
      <c r="J46" s="14">
        <v>0</v>
      </c>
      <c r="K46" s="14">
        <f t="shared" si="14"/>
        <v>17424.63</v>
      </c>
      <c r="L46" s="15">
        <f t="shared" si="15"/>
        <v>0</v>
      </c>
      <c r="M46" s="163"/>
      <c r="N46" s="163"/>
      <c r="O46" s="155">
        <f t="shared" si="12"/>
        <v>6.9121597334742546E-11</v>
      </c>
      <c r="P46" s="183"/>
    </row>
    <row r="47" spans="1:20" x14ac:dyDescent="0.2">
      <c r="A47" s="139" t="s">
        <v>24</v>
      </c>
      <c r="B47" s="10">
        <f t="shared" si="16"/>
        <v>412246.5499999997</v>
      </c>
      <c r="C47" s="10">
        <f>13636634.35-13212786.17-11601.63</f>
        <v>412246.5499999997</v>
      </c>
      <c r="D47" s="11">
        <v>-459</v>
      </c>
      <c r="E47" s="10">
        <v>0</v>
      </c>
      <c r="F47" s="12">
        <f t="shared" si="13"/>
        <v>0</v>
      </c>
      <c r="G47" s="10">
        <f>+C47+D47-E47</f>
        <v>411787.5499999997</v>
      </c>
      <c r="H47" s="13">
        <v>37530.339999999997</v>
      </c>
      <c r="I47" s="14">
        <v>456237</v>
      </c>
      <c r="J47" s="14">
        <f>52394.42+7312.79+22272.58</f>
        <v>81979.790000000008</v>
      </c>
      <c r="K47" s="14">
        <f t="shared" si="14"/>
        <v>411787.54999999993</v>
      </c>
      <c r="L47" s="15">
        <f t="shared" si="15"/>
        <v>0</v>
      </c>
      <c r="M47" s="163"/>
      <c r="N47" s="163"/>
      <c r="O47" s="62">
        <f t="shared" si="12"/>
        <v>0</v>
      </c>
      <c r="P47" s="183"/>
    </row>
    <row r="48" spans="1:20" x14ac:dyDescent="0.2">
      <c r="A48" s="139" t="s">
        <v>25</v>
      </c>
      <c r="B48" s="10">
        <f t="shared" si="16"/>
        <v>5151.3900000000722</v>
      </c>
      <c r="C48" s="10">
        <f>868753.03-542712.97-320888.67</f>
        <v>5151.3900000000722</v>
      </c>
      <c r="D48" s="10">
        <v>131.31</v>
      </c>
      <c r="E48" s="10">
        <v>0</v>
      </c>
      <c r="F48" s="12">
        <f t="shared" si="13"/>
        <v>0</v>
      </c>
      <c r="G48" s="10">
        <f t="shared" si="17"/>
        <v>5282.7000000000726</v>
      </c>
      <c r="H48" s="13">
        <v>5282.7</v>
      </c>
      <c r="I48" s="14">
        <v>0</v>
      </c>
      <c r="J48" s="14">
        <v>0</v>
      </c>
      <c r="K48" s="14">
        <f t="shared" si="14"/>
        <v>5282.7</v>
      </c>
      <c r="L48" s="15">
        <f t="shared" si="15"/>
        <v>0</v>
      </c>
      <c r="M48" s="163"/>
      <c r="N48" s="163"/>
      <c r="O48" s="155">
        <f t="shared" si="12"/>
        <v>-7.2759576141834259E-11</v>
      </c>
      <c r="P48" s="183"/>
    </row>
    <row r="49" spans="1:18" x14ac:dyDescent="0.2">
      <c r="A49" s="139" t="s">
        <v>27</v>
      </c>
      <c r="B49" s="10">
        <f t="shared" si="16"/>
        <v>3767.3699999999953</v>
      </c>
      <c r="C49" s="10">
        <f>573447.69-569680.32</f>
        <v>3767.3699999999953</v>
      </c>
      <c r="D49" s="11">
        <v>0</v>
      </c>
      <c r="E49" s="10">
        <v>0</v>
      </c>
      <c r="F49" s="12">
        <f t="shared" si="13"/>
        <v>0</v>
      </c>
      <c r="G49" s="10">
        <f t="shared" si="17"/>
        <v>3767.3699999999953</v>
      </c>
      <c r="H49" s="13">
        <v>3767.37</v>
      </c>
      <c r="I49" s="14">
        <v>0</v>
      </c>
      <c r="J49" s="14">
        <v>0</v>
      </c>
      <c r="K49" s="14">
        <f t="shared" si="14"/>
        <v>3767.37</v>
      </c>
      <c r="L49" s="15">
        <f t="shared" si="15"/>
        <v>0</v>
      </c>
      <c r="M49" s="163"/>
      <c r="N49" s="163"/>
      <c r="O49" s="62">
        <f t="shared" si="12"/>
        <v>4.5474735088646412E-12</v>
      </c>
      <c r="P49" s="183"/>
    </row>
    <row r="50" spans="1:18" x14ac:dyDescent="0.2">
      <c r="A50" s="139" t="s">
        <v>28</v>
      </c>
      <c r="B50" s="10">
        <f t="shared" si="16"/>
        <v>542.31999999999971</v>
      </c>
      <c r="C50" s="10">
        <f>36484.65-0-35942.33</f>
        <v>542.31999999999971</v>
      </c>
      <c r="D50" s="11">
        <v>0</v>
      </c>
      <c r="E50" s="10">
        <v>0</v>
      </c>
      <c r="F50" s="12">
        <f t="shared" si="13"/>
        <v>0</v>
      </c>
      <c r="G50" s="10">
        <f t="shared" si="17"/>
        <v>542.31999999999971</v>
      </c>
      <c r="H50" s="13">
        <v>542.32000000000005</v>
      </c>
      <c r="I50" s="14">
        <v>0</v>
      </c>
      <c r="J50" s="14">
        <v>0</v>
      </c>
      <c r="K50" s="14">
        <f t="shared" si="14"/>
        <v>542.32000000000005</v>
      </c>
      <c r="L50" s="15">
        <f t="shared" si="15"/>
        <v>0</v>
      </c>
      <c r="M50" s="163"/>
      <c r="N50" s="163"/>
      <c r="O50" s="155">
        <f t="shared" si="12"/>
        <v>0</v>
      </c>
      <c r="P50" s="183"/>
    </row>
    <row r="51" spans="1:18" x14ac:dyDescent="0.2">
      <c r="A51" s="139" t="s">
        <v>29</v>
      </c>
      <c r="B51" s="10">
        <f>+C51</f>
        <v>489577.01999999862</v>
      </c>
      <c r="C51" s="10">
        <f>25804148.7-21535015.98-3779555.7</f>
        <v>489577.01999999862</v>
      </c>
      <c r="D51" s="45"/>
      <c r="E51" s="10">
        <v>0</v>
      </c>
      <c r="F51" s="12">
        <f t="shared" si="13"/>
        <v>0</v>
      </c>
      <c r="G51" s="10">
        <f>+C51+D51-E51</f>
        <v>489577.01999999862</v>
      </c>
      <c r="H51" s="13">
        <f>2255525.44-1688966.46</f>
        <v>566558.98</v>
      </c>
      <c r="I51" s="14">
        <v>122706.07</v>
      </c>
      <c r="J51" s="14">
        <f>20016.25+99956.62+61086.68+18628.48</f>
        <v>199688.03</v>
      </c>
      <c r="K51" s="14">
        <f>H51+I51-J51</f>
        <v>489577.02</v>
      </c>
      <c r="L51" s="15">
        <f t="shared" si="15"/>
        <v>0</v>
      </c>
      <c r="M51" s="163"/>
      <c r="N51" s="163"/>
      <c r="O51" s="62">
        <f t="shared" si="12"/>
        <v>1.3969838619232178E-9</v>
      </c>
      <c r="P51" s="184"/>
    </row>
    <row r="52" spans="1:18" x14ac:dyDescent="0.2">
      <c r="A52" s="139" t="s">
        <v>30</v>
      </c>
      <c r="B52" s="10">
        <f t="shared" si="16"/>
        <v>193749.02000000025</v>
      </c>
      <c r="C52" s="10">
        <f>19272341-17976826.68-1101765.3</f>
        <v>193749.02000000025</v>
      </c>
      <c r="D52" s="10">
        <v>4227.0200000000004</v>
      </c>
      <c r="E52" s="10">
        <v>0</v>
      </c>
      <c r="F52" s="12">
        <f t="shared" si="13"/>
        <v>0</v>
      </c>
      <c r="G52" s="10">
        <f>+C52+D52-E52</f>
        <v>197976.04000000024</v>
      </c>
      <c r="H52" s="13">
        <v>171700.75</v>
      </c>
      <c r="I52" s="14">
        <v>296402</v>
      </c>
      <c r="J52" s="14">
        <f>26299+244312.48</f>
        <v>270611.48</v>
      </c>
      <c r="K52" s="14">
        <f>H52+I52-J52</f>
        <v>197491.27000000002</v>
      </c>
      <c r="L52" s="15">
        <f t="shared" si="15"/>
        <v>0</v>
      </c>
      <c r="M52" s="163"/>
      <c r="N52" s="163"/>
      <c r="O52" s="155">
        <f>+K52-G52</f>
        <v>-484.77000000022235</v>
      </c>
      <c r="P52" s="185"/>
    </row>
    <row r="53" spans="1:18" s="5" customFormat="1" x14ac:dyDescent="0.2">
      <c r="A53" s="20" t="s">
        <v>33</v>
      </c>
      <c r="B53" s="21">
        <f>SUM(B42:B52)</f>
        <v>1685870.649999999</v>
      </c>
      <c r="C53" s="21">
        <f>SUM(C42:C52)</f>
        <v>2492331.6499999994</v>
      </c>
      <c r="D53" s="21">
        <f>SUM(D42:D52)</f>
        <v>4457.42</v>
      </c>
      <c r="E53" s="21">
        <f>SUM(E42:E52)</f>
        <v>2038.23</v>
      </c>
      <c r="F53" s="22">
        <f>+E53/C53</f>
        <v>8.178004721000917E-4</v>
      </c>
      <c r="G53" s="21">
        <f>SUM(G42:G52)</f>
        <v>2494750.8399999989</v>
      </c>
      <c r="H53" s="21">
        <f>SUM(H42:H52)</f>
        <v>2967054.7</v>
      </c>
      <c r="I53" s="21">
        <f>SUM(I42:I52)</f>
        <v>1070779.75</v>
      </c>
      <c r="J53" s="21">
        <f>SUM(J42:J52)</f>
        <v>1543568.3800000001</v>
      </c>
      <c r="K53" s="21">
        <f>SUM(K42:K52)</f>
        <v>2494266.0700000003</v>
      </c>
      <c r="L53" s="23"/>
      <c r="M53" s="164"/>
      <c r="N53" s="164"/>
      <c r="O53" s="62">
        <f t="shared" ref="O53:O69" si="18">+K53-G53</f>
        <v>-484.76999999862164</v>
      </c>
      <c r="P53" s="204"/>
      <c r="Q53" s="143"/>
      <c r="R53" s="143"/>
    </row>
    <row r="54" spans="1:18" x14ac:dyDescent="0.2">
      <c r="A54" s="139" t="s">
        <v>34</v>
      </c>
      <c r="B54" s="10">
        <v>0</v>
      </c>
      <c r="C54" s="10">
        <v>256006.06</v>
      </c>
      <c r="D54" s="13">
        <v>440.75</v>
      </c>
      <c r="E54" s="10">
        <v>0</v>
      </c>
      <c r="F54" s="12">
        <v>0</v>
      </c>
      <c r="G54" s="10">
        <f>+C54+D54-E54</f>
        <v>256446.81</v>
      </c>
      <c r="H54" s="10">
        <v>238695.02</v>
      </c>
      <c r="I54" s="10">
        <v>30099.8</v>
      </c>
      <c r="J54" s="10">
        <v>12348.01</v>
      </c>
      <c r="K54" s="10">
        <f t="shared" si="14"/>
        <v>256446.81</v>
      </c>
      <c r="L54" s="15"/>
      <c r="M54" s="163"/>
      <c r="N54" s="163"/>
      <c r="O54" s="62">
        <f t="shared" si="18"/>
        <v>0</v>
      </c>
      <c r="P54" s="183"/>
    </row>
    <row r="55" spans="1:18" x14ac:dyDescent="0.2">
      <c r="A55" s="20" t="s">
        <v>35</v>
      </c>
      <c r="B55" s="25">
        <f t="shared" ref="B55:K55" si="19">SUM(B54:B54)</f>
        <v>0</v>
      </c>
      <c r="C55" s="25">
        <f t="shared" si="19"/>
        <v>256006.06</v>
      </c>
      <c r="D55" s="25">
        <f t="shared" si="19"/>
        <v>440.75</v>
      </c>
      <c r="E55" s="25">
        <f t="shared" si="19"/>
        <v>0</v>
      </c>
      <c r="F55" s="25">
        <f t="shared" si="19"/>
        <v>0</v>
      </c>
      <c r="G55" s="25">
        <f t="shared" si="19"/>
        <v>256446.81</v>
      </c>
      <c r="H55" s="25">
        <f t="shared" si="19"/>
        <v>238695.02</v>
      </c>
      <c r="I55" s="25">
        <f t="shared" si="19"/>
        <v>30099.8</v>
      </c>
      <c r="J55" s="25">
        <f t="shared" si="19"/>
        <v>12348.01</v>
      </c>
      <c r="K55" s="25">
        <f t="shared" si="19"/>
        <v>256446.81</v>
      </c>
      <c r="L55" s="27"/>
      <c r="M55" s="163"/>
      <c r="N55" s="163"/>
      <c r="O55" s="62">
        <f t="shared" si="18"/>
        <v>0</v>
      </c>
      <c r="P55" s="183"/>
    </row>
    <row r="56" spans="1:18" x14ac:dyDescent="0.2">
      <c r="A56" s="139" t="s">
        <v>18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0.47</v>
      </c>
      <c r="H56" s="10">
        <v>0.47</v>
      </c>
      <c r="I56" s="10">
        <v>0</v>
      </c>
      <c r="J56" s="10">
        <v>0</v>
      </c>
      <c r="K56" s="10">
        <f t="shared" si="14"/>
        <v>0.47</v>
      </c>
      <c r="L56" s="15"/>
      <c r="M56" s="163"/>
      <c r="N56" s="163"/>
      <c r="O56" s="62">
        <f t="shared" si="18"/>
        <v>0</v>
      </c>
      <c r="P56" s="183"/>
    </row>
    <row r="57" spans="1:18" x14ac:dyDescent="0.2">
      <c r="A57" s="139" t="s">
        <v>29</v>
      </c>
      <c r="B57" s="10">
        <v>0</v>
      </c>
      <c r="C57" s="10">
        <v>0</v>
      </c>
      <c r="D57" s="10">
        <v>0</v>
      </c>
      <c r="E57" s="10">
        <v>0</v>
      </c>
      <c r="F57" s="12">
        <v>0</v>
      </c>
      <c r="G57" s="10">
        <v>17.399999999999999</v>
      </c>
      <c r="H57" s="10">
        <v>17.399999999999999</v>
      </c>
      <c r="I57" s="10"/>
      <c r="J57" s="10">
        <v>0</v>
      </c>
      <c r="K57" s="10">
        <f t="shared" si="14"/>
        <v>17.399999999999999</v>
      </c>
      <c r="L57" s="15"/>
      <c r="M57" s="163"/>
      <c r="N57" s="163"/>
      <c r="O57" s="62">
        <f t="shared" si="18"/>
        <v>0</v>
      </c>
      <c r="P57" s="183"/>
    </row>
    <row r="58" spans="1:18" x14ac:dyDescent="0.2">
      <c r="A58" s="20" t="s">
        <v>37</v>
      </c>
      <c r="B58" s="25">
        <f t="shared" ref="B58:K58" si="20">SUM(B56:B57)</f>
        <v>0</v>
      </c>
      <c r="C58" s="25">
        <f t="shared" si="20"/>
        <v>0</v>
      </c>
      <c r="D58" s="25">
        <f t="shared" si="20"/>
        <v>0</v>
      </c>
      <c r="E58" s="25">
        <f t="shared" si="20"/>
        <v>0</v>
      </c>
      <c r="F58" s="25">
        <f t="shared" si="20"/>
        <v>0</v>
      </c>
      <c r="G58" s="25">
        <f t="shared" si="20"/>
        <v>17.869999999999997</v>
      </c>
      <c r="H58" s="25">
        <f t="shared" si="20"/>
        <v>17.869999999999997</v>
      </c>
      <c r="I58" s="25">
        <f t="shared" si="20"/>
        <v>0</v>
      </c>
      <c r="J58" s="25">
        <f t="shared" si="20"/>
        <v>0</v>
      </c>
      <c r="K58" s="25">
        <f t="shared" si="20"/>
        <v>17.869999999999997</v>
      </c>
      <c r="L58" s="27"/>
      <c r="M58" s="163"/>
      <c r="N58" s="163"/>
      <c r="O58" s="62">
        <f>+K58-G58</f>
        <v>0</v>
      </c>
      <c r="P58" s="183"/>
    </row>
    <row r="59" spans="1:18" x14ac:dyDescent="0.2">
      <c r="A59" s="139" t="s">
        <v>18</v>
      </c>
      <c r="B59" s="10">
        <v>0</v>
      </c>
      <c r="C59" s="10">
        <v>0</v>
      </c>
      <c r="D59" s="10"/>
      <c r="E59" s="10">
        <v>0</v>
      </c>
      <c r="F59" s="12">
        <v>0</v>
      </c>
      <c r="G59" s="10">
        <v>1392</v>
      </c>
      <c r="H59" s="10">
        <v>1392</v>
      </c>
      <c r="I59" s="10">
        <v>0</v>
      </c>
      <c r="J59" s="10">
        <v>0</v>
      </c>
      <c r="K59" s="10">
        <f t="shared" si="14"/>
        <v>1392</v>
      </c>
      <c r="L59" s="15"/>
      <c r="M59" s="163"/>
      <c r="N59" s="163"/>
      <c r="O59" s="62">
        <f t="shared" si="18"/>
        <v>0</v>
      </c>
      <c r="P59" s="183"/>
    </row>
    <row r="60" spans="1:18" x14ac:dyDescent="0.2">
      <c r="A60" s="139" t="s">
        <v>20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382.8</v>
      </c>
      <c r="H60" s="10">
        <v>382.8</v>
      </c>
      <c r="I60" s="10">
        <v>0</v>
      </c>
      <c r="J60" s="10">
        <v>0</v>
      </c>
      <c r="K60" s="10">
        <f t="shared" si="14"/>
        <v>382.8</v>
      </c>
      <c r="L60" s="15"/>
      <c r="M60" s="163"/>
      <c r="N60" s="163"/>
      <c r="O60" s="62">
        <f t="shared" si="18"/>
        <v>0</v>
      </c>
      <c r="P60" s="183"/>
    </row>
    <row r="61" spans="1:18" x14ac:dyDescent="0.2">
      <c r="A61" s="139" t="s">
        <v>29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242057.67</v>
      </c>
      <c r="H61" s="10">
        <v>242057.67</v>
      </c>
      <c r="I61" s="10">
        <v>0</v>
      </c>
      <c r="J61" s="10">
        <v>0</v>
      </c>
      <c r="K61" s="10">
        <f t="shared" si="14"/>
        <v>242057.67</v>
      </c>
      <c r="L61" s="15"/>
      <c r="M61" s="163"/>
      <c r="N61" s="163"/>
      <c r="O61" s="62">
        <f t="shared" si="18"/>
        <v>0</v>
      </c>
      <c r="P61" s="183"/>
    </row>
    <row r="62" spans="1:18" x14ac:dyDescent="0.2">
      <c r="A62" s="20" t="s">
        <v>38</v>
      </c>
      <c r="B62" s="25">
        <f t="shared" ref="B62:K62" si="21">SUM(B59:B61)</f>
        <v>0</v>
      </c>
      <c r="C62" s="25">
        <f t="shared" si="21"/>
        <v>0</v>
      </c>
      <c r="D62" s="25">
        <f t="shared" si="21"/>
        <v>0</v>
      </c>
      <c r="E62" s="25">
        <f t="shared" si="21"/>
        <v>0</v>
      </c>
      <c r="F62" s="25">
        <f t="shared" si="21"/>
        <v>0</v>
      </c>
      <c r="G62" s="25">
        <f t="shared" si="21"/>
        <v>243832.47</v>
      </c>
      <c r="H62" s="25">
        <f t="shared" si="21"/>
        <v>243832.47</v>
      </c>
      <c r="I62" s="25">
        <f t="shared" si="21"/>
        <v>0</v>
      </c>
      <c r="J62" s="25">
        <f t="shared" si="21"/>
        <v>0</v>
      </c>
      <c r="K62" s="25">
        <f t="shared" si="21"/>
        <v>243832.47</v>
      </c>
      <c r="L62" s="27"/>
      <c r="M62" s="163"/>
      <c r="N62" s="163"/>
      <c r="O62" s="62">
        <f t="shared" si="18"/>
        <v>0</v>
      </c>
      <c r="P62" s="183"/>
    </row>
    <row r="63" spans="1:18" x14ac:dyDescent="0.2">
      <c r="A63" s="139" t="s">
        <v>36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-10</v>
      </c>
      <c r="H63" s="10">
        <v>-10</v>
      </c>
      <c r="I63" s="10">
        <v>0</v>
      </c>
      <c r="J63" s="10">
        <v>0</v>
      </c>
      <c r="K63" s="10">
        <f t="shared" si="14"/>
        <v>-10</v>
      </c>
      <c r="L63" s="15"/>
      <c r="M63" s="163"/>
      <c r="N63" s="163"/>
      <c r="O63" s="62">
        <f t="shared" si="18"/>
        <v>0</v>
      </c>
      <c r="P63" s="183"/>
    </row>
    <row r="64" spans="1:18" x14ac:dyDescent="0.2">
      <c r="A64" s="139" t="s">
        <v>20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219.47</v>
      </c>
      <c r="H64" s="10">
        <v>219.47</v>
      </c>
      <c r="I64" s="10">
        <v>0</v>
      </c>
      <c r="J64" s="10">
        <v>0</v>
      </c>
      <c r="K64" s="10">
        <f t="shared" si="14"/>
        <v>219.47</v>
      </c>
      <c r="L64" s="15"/>
      <c r="M64" s="163"/>
      <c r="N64" s="163"/>
      <c r="O64" s="62">
        <f t="shared" si="18"/>
        <v>0</v>
      </c>
      <c r="P64" s="183"/>
    </row>
    <row r="65" spans="1:16" x14ac:dyDescent="0.2">
      <c r="A65" s="139" t="s">
        <v>24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1150.8900000000001</v>
      </c>
      <c r="H65" s="10">
        <v>42631.81</v>
      </c>
      <c r="I65" s="10">
        <v>412765.08</v>
      </c>
      <c r="J65" s="10">
        <v>454246</v>
      </c>
      <c r="K65" s="10">
        <f t="shared" si="14"/>
        <v>1150.890000000014</v>
      </c>
      <c r="L65" s="15"/>
      <c r="M65" s="163"/>
      <c r="N65" s="163"/>
      <c r="O65" s="62">
        <f t="shared" si="18"/>
        <v>1.3869794202037156E-11</v>
      </c>
      <c r="P65" s="183"/>
    </row>
    <row r="66" spans="1:16" x14ac:dyDescent="0.2">
      <c r="A66" s="139" t="s">
        <v>25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719.87</v>
      </c>
      <c r="H66" s="10">
        <v>719.87</v>
      </c>
      <c r="I66" s="10">
        <v>0</v>
      </c>
      <c r="J66" s="10">
        <v>0</v>
      </c>
      <c r="K66" s="10">
        <f t="shared" si="14"/>
        <v>719.87</v>
      </c>
      <c r="L66" s="15"/>
      <c r="M66" s="163"/>
      <c r="N66" s="163"/>
      <c r="O66" s="62">
        <f t="shared" si="18"/>
        <v>0</v>
      </c>
      <c r="P66" s="183"/>
    </row>
    <row r="67" spans="1:16" x14ac:dyDescent="0.2">
      <c r="A67" s="139" t="s">
        <v>27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267528.84000000003</v>
      </c>
      <c r="H67" s="10">
        <v>0</v>
      </c>
      <c r="I67" s="10">
        <v>267528.84000000003</v>
      </c>
      <c r="J67" s="10">
        <v>0</v>
      </c>
      <c r="K67" s="10">
        <f t="shared" si="14"/>
        <v>267528.84000000003</v>
      </c>
      <c r="L67" s="15"/>
      <c r="M67" s="163"/>
      <c r="N67" s="163"/>
      <c r="O67" s="62">
        <f t="shared" si="18"/>
        <v>0</v>
      </c>
      <c r="P67" s="183"/>
    </row>
    <row r="68" spans="1:16" x14ac:dyDescent="0.2">
      <c r="A68" s="139" t="s">
        <v>29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236767.4</v>
      </c>
      <c r="H68" s="10">
        <v>243581.68</v>
      </c>
      <c r="I68" s="10">
        <v>0</v>
      </c>
      <c r="J68" s="10">
        <f>2827.74+3986.54</f>
        <v>6814.28</v>
      </c>
      <c r="K68" s="10">
        <f t="shared" si="14"/>
        <v>236767.4</v>
      </c>
      <c r="L68" s="15"/>
      <c r="M68" s="163"/>
      <c r="N68" s="163"/>
      <c r="O68" s="62">
        <f t="shared" si="18"/>
        <v>0</v>
      </c>
      <c r="P68" s="183"/>
    </row>
    <row r="69" spans="1:16" x14ac:dyDescent="0.2">
      <c r="A69" s="20" t="s">
        <v>39</v>
      </c>
      <c r="B69" s="25">
        <f t="shared" ref="B69:K69" si="22">SUM(B63:B68)</f>
        <v>0</v>
      </c>
      <c r="C69" s="25">
        <f t="shared" si="22"/>
        <v>0</v>
      </c>
      <c r="D69" s="25">
        <f t="shared" si="22"/>
        <v>0</v>
      </c>
      <c r="E69" s="25">
        <f t="shared" si="22"/>
        <v>0</v>
      </c>
      <c r="F69" s="25">
        <f t="shared" si="22"/>
        <v>0</v>
      </c>
      <c r="G69" s="25">
        <f t="shared" si="22"/>
        <v>506376.47</v>
      </c>
      <c r="H69" s="25">
        <f t="shared" si="22"/>
        <v>287142.83</v>
      </c>
      <c r="I69" s="25">
        <f t="shared" si="22"/>
        <v>680293.92</v>
      </c>
      <c r="J69" s="25">
        <f t="shared" si="22"/>
        <v>461060.28</v>
      </c>
      <c r="K69" s="25">
        <f t="shared" si="22"/>
        <v>506376.47000000009</v>
      </c>
      <c r="L69" s="27"/>
      <c r="M69" s="163"/>
      <c r="N69" s="163"/>
      <c r="O69" s="62">
        <f t="shared" si="18"/>
        <v>0</v>
      </c>
      <c r="P69" s="183"/>
    </row>
    <row r="70" spans="1:16" x14ac:dyDescent="0.25">
      <c r="A70" s="20" t="s">
        <v>44</v>
      </c>
      <c r="B70" s="25">
        <f t="shared" ref="B70:K70" si="23">+B41+B53+B55+B58+B62+B69</f>
        <v>104936112.92999999</v>
      </c>
      <c r="C70" s="25">
        <f t="shared" si="23"/>
        <v>5165475.4700000016</v>
      </c>
      <c r="D70" s="25">
        <f t="shared" si="23"/>
        <v>191349.32</v>
      </c>
      <c r="E70" s="25">
        <f t="shared" si="23"/>
        <v>1511681.33</v>
      </c>
      <c r="F70" s="25">
        <f t="shared" si="23"/>
        <v>5.2672924140970103</v>
      </c>
      <c r="G70" s="25">
        <f t="shared" si="23"/>
        <v>4595370.2700000014</v>
      </c>
      <c r="H70" s="25">
        <f t="shared" si="23"/>
        <v>6297865.4399999995</v>
      </c>
      <c r="I70" s="25">
        <f t="shared" si="23"/>
        <v>2937683.26</v>
      </c>
      <c r="J70" s="25">
        <f t="shared" si="23"/>
        <v>4640663.2</v>
      </c>
      <c r="K70" s="25">
        <f t="shared" si="23"/>
        <v>4594885.5</v>
      </c>
      <c r="L70" s="27"/>
      <c r="M70" s="163"/>
      <c r="N70" s="163"/>
      <c r="P70" s="186"/>
    </row>
    <row r="71" spans="1:16" x14ac:dyDescent="0.25">
      <c r="A71" s="28"/>
      <c r="B71" s="29"/>
      <c r="C71" s="29"/>
      <c r="D71" s="29"/>
      <c r="E71" s="28"/>
      <c r="F71" s="28"/>
      <c r="G71" s="28"/>
      <c r="H71" s="28"/>
      <c r="I71" s="28"/>
      <c r="J71" s="28"/>
      <c r="K71" s="28"/>
      <c r="L71" s="30"/>
      <c r="M71" s="30"/>
      <c r="N71" s="30"/>
      <c r="P71" s="186"/>
    </row>
    <row r="72" spans="1:16" x14ac:dyDescent="0.25">
      <c r="A72" s="140"/>
      <c r="B72" s="19"/>
      <c r="C72" s="333" t="s">
        <v>45</v>
      </c>
      <c r="D72" s="333"/>
      <c r="E72" s="333"/>
      <c r="F72" s="333"/>
      <c r="G72" s="333"/>
      <c r="H72" s="333"/>
      <c r="I72" s="333"/>
      <c r="J72" s="19"/>
      <c r="K72" s="19"/>
      <c r="L72" s="19"/>
      <c r="M72" s="19"/>
      <c r="N72" s="19"/>
      <c r="P72" s="186"/>
    </row>
    <row r="73" spans="1:16" x14ac:dyDescent="0.25">
      <c r="A73" s="140"/>
      <c r="B73" s="19"/>
      <c r="C73" s="223"/>
      <c r="D73" s="223"/>
      <c r="E73" s="223"/>
      <c r="F73" s="223"/>
      <c r="G73" s="223"/>
      <c r="H73" s="223"/>
      <c r="I73" s="223"/>
      <c r="J73" s="19"/>
      <c r="K73" s="19"/>
      <c r="L73" s="19"/>
      <c r="M73" s="19"/>
      <c r="N73" s="19"/>
      <c r="P73" s="186"/>
    </row>
    <row r="74" spans="1:16" x14ac:dyDescent="0.25">
      <c r="A74" s="140"/>
      <c r="B74" s="325" t="s">
        <v>46</v>
      </c>
      <c r="C74" s="325"/>
      <c r="D74" s="326" t="s">
        <v>47</v>
      </c>
      <c r="E74" s="327"/>
      <c r="F74" s="328"/>
      <c r="G74" s="320" t="s">
        <v>48</v>
      </c>
      <c r="H74" s="320"/>
      <c r="I74" s="225" t="s">
        <v>10</v>
      </c>
      <c r="J74" s="19"/>
      <c r="K74" s="19"/>
      <c r="L74" s="19"/>
      <c r="M74" s="19"/>
      <c r="N74" s="19"/>
      <c r="P74" s="186"/>
    </row>
    <row r="75" spans="1:16" x14ac:dyDescent="0.25">
      <c r="A75" s="140"/>
      <c r="B75" s="329" t="s">
        <v>49</v>
      </c>
      <c r="C75" s="329"/>
      <c r="D75" s="330">
        <v>9000000</v>
      </c>
      <c r="E75" s="331"/>
      <c r="F75" s="332">
        <v>0</v>
      </c>
      <c r="G75" s="330">
        <v>4747791.18</v>
      </c>
      <c r="H75" s="332"/>
      <c r="I75" s="33">
        <f>G75/D75</f>
        <v>0.52753235333333326</v>
      </c>
      <c r="J75" s="19"/>
      <c r="K75" s="19"/>
      <c r="L75" s="19"/>
      <c r="M75" s="19"/>
      <c r="N75" s="19"/>
      <c r="P75" s="186"/>
    </row>
    <row r="76" spans="1:16" x14ac:dyDescent="0.25">
      <c r="A76" s="140"/>
      <c r="B76" s="320"/>
      <c r="C76" s="320"/>
      <c r="D76" s="321"/>
      <c r="E76" s="322"/>
      <c r="F76" s="323"/>
      <c r="G76" s="324"/>
      <c r="H76" s="324"/>
      <c r="I76" s="226"/>
      <c r="J76" s="19"/>
      <c r="K76" s="19"/>
      <c r="L76" s="19"/>
      <c r="M76" s="19"/>
      <c r="N76" s="19"/>
      <c r="P76" s="186"/>
    </row>
    <row r="77" spans="1:16" x14ac:dyDescent="0.25">
      <c r="A77" s="140"/>
      <c r="B77" s="320"/>
      <c r="C77" s="320"/>
      <c r="D77" s="321"/>
      <c r="E77" s="322"/>
      <c r="F77" s="323"/>
      <c r="G77" s="324"/>
      <c r="H77" s="324"/>
      <c r="I77" s="226"/>
      <c r="J77" s="19"/>
      <c r="K77" s="19"/>
      <c r="L77" s="19"/>
      <c r="M77" s="19"/>
      <c r="N77" s="19"/>
      <c r="P77" s="186"/>
    </row>
    <row r="78" spans="1:16" x14ac:dyDescent="0.25">
      <c r="A78" s="140"/>
      <c r="B78" s="320"/>
      <c r="C78" s="320"/>
      <c r="D78" s="321"/>
      <c r="E78" s="322"/>
      <c r="F78" s="323"/>
      <c r="G78" s="324"/>
      <c r="H78" s="324"/>
      <c r="I78" s="226"/>
      <c r="J78" s="19"/>
      <c r="K78" s="19"/>
      <c r="L78" s="19"/>
      <c r="M78" s="19"/>
      <c r="N78" s="19"/>
      <c r="P78" s="186"/>
    </row>
    <row r="79" spans="1:16" x14ac:dyDescent="0.25">
      <c r="A79" s="35" t="s">
        <v>50</v>
      </c>
      <c r="B79" s="36"/>
      <c r="C79" s="36"/>
      <c r="D79" s="36"/>
      <c r="E79" s="36"/>
      <c r="F79" s="36"/>
      <c r="G79" s="37"/>
      <c r="H79" s="37"/>
      <c r="I79" s="38"/>
      <c r="J79" s="19"/>
      <c r="K79" s="19"/>
      <c r="L79" s="19"/>
      <c r="M79" s="19"/>
      <c r="N79" s="19"/>
      <c r="P79" s="186"/>
    </row>
    <row r="80" spans="1:16" x14ac:dyDescent="0.25">
      <c r="P80" s="186"/>
    </row>
    <row r="81" spans="3:16" x14ac:dyDescent="0.25">
      <c r="P81" s="186"/>
    </row>
    <row r="82" spans="3:16" x14ac:dyDescent="0.25">
      <c r="C82" s="342" t="s">
        <v>125</v>
      </c>
      <c r="D82" s="342"/>
      <c r="I82" s="342" t="s">
        <v>128</v>
      </c>
      <c r="J82" s="342"/>
      <c r="P82" s="186"/>
    </row>
    <row r="83" spans="3:16" x14ac:dyDescent="0.25">
      <c r="P83" s="186"/>
    </row>
    <row r="84" spans="3:16" x14ac:dyDescent="0.25">
      <c r="P84" s="186"/>
    </row>
    <row r="85" spans="3:16" x14ac:dyDescent="0.25">
      <c r="C85" s="342" t="s">
        <v>126</v>
      </c>
      <c r="D85" s="342"/>
      <c r="I85" s="342" t="s">
        <v>129</v>
      </c>
      <c r="J85" s="342"/>
      <c r="P85" s="186"/>
    </row>
    <row r="86" spans="3:16" x14ac:dyDescent="0.25">
      <c r="C86" s="342" t="s">
        <v>127</v>
      </c>
      <c r="D86" s="342"/>
      <c r="I86" s="342" t="s">
        <v>130</v>
      </c>
      <c r="J86" s="342"/>
      <c r="P86" s="186"/>
    </row>
    <row r="87" spans="3:16" x14ac:dyDescent="0.25">
      <c r="P87" s="186"/>
    </row>
    <row r="88" spans="3:16" x14ac:dyDescent="0.25">
      <c r="P88" s="186"/>
    </row>
    <row r="89" spans="3:16" x14ac:dyDescent="0.25">
      <c r="P89" s="186"/>
    </row>
    <row r="90" spans="3:16" x14ac:dyDescent="0.25">
      <c r="P90" s="186"/>
    </row>
    <row r="91" spans="3:16" x14ac:dyDescent="0.25">
      <c r="P91" s="186"/>
    </row>
    <row r="92" spans="3:16" x14ac:dyDescent="0.25">
      <c r="P92" s="186"/>
    </row>
    <row r="93" spans="3:16" x14ac:dyDescent="0.25">
      <c r="P93" s="186"/>
    </row>
    <row r="94" spans="3:16" x14ac:dyDescent="0.25">
      <c r="P94" s="186"/>
    </row>
    <row r="95" spans="3:16" x14ac:dyDescent="0.25">
      <c r="P95" s="186"/>
    </row>
    <row r="96" spans="3:16" x14ac:dyDescent="0.25">
      <c r="P96" s="186"/>
    </row>
    <row r="97" spans="16:16" x14ac:dyDescent="0.25">
      <c r="P97" s="186"/>
    </row>
    <row r="98" spans="16:16" x14ac:dyDescent="0.25">
      <c r="P98" s="186"/>
    </row>
    <row r="99" spans="16:16" x14ac:dyDescent="0.25">
      <c r="P99" s="186"/>
    </row>
    <row r="100" spans="16:16" x14ac:dyDescent="0.25">
      <c r="P100" s="186"/>
    </row>
    <row r="101" spans="16:16" x14ac:dyDescent="0.25">
      <c r="P101" s="186"/>
    </row>
    <row r="102" spans="16:16" x14ac:dyDescent="0.25">
      <c r="P102" s="186"/>
    </row>
    <row r="103" spans="16:16" x14ac:dyDescent="0.25">
      <c r="P103" s="186"/>
    </row>
    <row r="104" spans="16:16" x14ac:dyDescent="0.25">
      <c r="P104" s="186"/>
    </row>
    <row r="105" spans="16:16" x14ac:dyDescent="0.25">
      <c r="P105" s="186"/>
    </row>
    <row r="106" spans="16:16" x14ac:dyDescent="0.25">
      <c r="P106" s="186"/>
    </row>
    <row r="107" spans="16:16" x14ac:dyDescent="0.25">
      <c r="P107" s="186"/>
    </row>
    <row r="108" spans="16:16" x14ac:dyDescent="0.25">
      <c r="P108" s="186"/>
    </row>
    <row r="109" spans="16:16" x14ac:dyDescent="0.25">
      <c r="P109" s="186"/>
    </row>
    <row r="110" spans="16:16" x14ac:dyDescent="0.25">
      <c r="P110" s="186"/>
    </row>
    <row r="111" spans="16:16" x14ac:dyDescent="0.25">
      <c r="P111" s="186"/>
    </row>
    <row r="112" spans="16:16" x14ac:dyDescent="0.25">
      <c r="P112" s="186"/>
    </row>
    <row r="113" spans="16:16" x14ac:dyDescent="0.25">
      <c r="P113" s="186"/>
    </row>
    <row r="114" spans="16:16" x14ac:dyDescent="0.25">
      <c r="P114" s="186"/>
    </row>
    <row r="115" spans="16:16" x14ac:dyDescent="0.25">
      <c r="P115" s="186"/>
    </row>
    <row r="116" spans="16:16" x14ac:dyDescent="0.25">
      <c r="P116" s="186"/>
    </row>
    <row r="117" spans="16:16" x14ac:dyDescent="0.25">
      <c r="P117" s="186"/>
    </row>
    <row r="118" spans="16:16" x14ac:dyDescent="0.25">
      <c r="P118" s="186"/>
    </row>
    <row r="119" spans="16:16" x14ac:dyDescent="0.25">
      <c r="P119" s="186"/>
    </row>
    <row r="120" spans="16:16" x14ac:dyDescent="0.25">
      <c r="P120" s="186"/>
    </row>
    <row r="121" spans="16:16" x14ac:dyDescent="0.25">
      <c r="P121" s="186"/>
    </row>
    <row r="122" spans="16:16" x14ac:dyDescent="0.25">
      <c r="P122" s="186"/>
    </row>
    <row r="123" spans="16:16" x14ac:dyDescent="0.25">
      <c r="P123" s="186"/>
    </row>
    <row r="124" spans="16:16" x14ac:dyDescent="0.25">
      <c r="P124" s="186"/>
    </row>
    <row r="125" spans="16:16" x14ac:dyDescent="0.25">
      <c r="P125" s="186"/>
    </row>
    <row r="126" spans="16:16" x14ac:dyDescent="0.25">
      <c r="P126" s="186"/>
    </row>
    <row r="127" spans="16:16" x14ac:dyDescent="0.25">
      <c r="P127" s="186"/>
    </row>
    <row r="128" spans="16:16" x14ac:dyDescent="0.25">
      <c r="P128" s="186"/>
    </row>
    <row r="129" spans="16:16" x14ac:dyDescent="0.25">
      <c r="P129" s="186"/>
    </row>
    <row r="130" spans="16:16" x14ac:dyDescent="0.25">
      <c r="P130" s="186"/>
    </row>
    <row r="131" spans="16:16" x14ac:dyDescent="0.25">
      <c r="P131" s="186"/>
    </row>
    <row r="132" spans="16:16" x14ac:dyDescent="0.25">
      <c r="P132" s="186"/>
    </row>
    <row r="133" spans="16:16" x14ac:dyDescent="0.25">
      <c r="P133" s="186"/>
    </row>
    <row r="134" spans="16:16" x14ac:dyDescent="0.25">
      <c r="P134" s="186"/>
    </row>
    <row r="135" spans="16:16" x14ac:dyDescent="0.25">
      <c r="P135" s="186"/>
    </row>
    <row r="136" spans="16:16" x14ac:dyDescent="0.25">
      <c r="P136" s="186"/>
    </row>
    <row r="137" spans="16:16" x14ac:dyDescent="0.25">
      <c r="P137" s="186"/>
    </row>
    <row r="138" spans="16:16" x14ac:dyDescent="0.25">
      <c r="P138" s="186"/>
    </row>
    <row r="139" spans="16:16" x14ac:dyDescent="0.25">
      <c r="P139" s="186"/>
    </row>
    <row r="140" spans="16:16" x14ac:dyDescent="0.25">
      <c r="P140" s="186"/>
    </row>
    <row r="141" spans="16:16" x14ac:dyDescent="0.25">
      <c r="P141" s="186"/>
    </row>
    <row r="142" spans="16:16" x14ac:dyDescent="0.25">
      <c r="P142" s="186"/>
    </row>
    <row r="143" spans="16:16" x14ac:dyDescent="0.25">
      <c r="P143" s="186"/>
    </row>
    <row r="144" spans="16:16" x14ac:dyDescent="0.25">
      <c r="P144" s="186"/>
    </row>
    <row r="145" spans="16:16" x14ac:dyDescent="0.25">
      <c r="P145" s="186"/>
    </row>
    <row r="146" spans="16:16" x14ac:dyDescent="0.25">
      <c r="P146" s="186"/>
    </row>
    <row r="147" spans="16:16" x14ac:dyDescent="0.25">
      <c r="P147" s="186"/>
    </row>
    <row r="148" spans="16:16" x14ac:dyDescent="0.25">
      <c r="P148" s="186"/>
    </row>
    <row r="149" spans="16:16" x14ac:dyDescent="0.25">
      <c r="P149" s="186"/>
    </row>
    <row r="150" spans="16:16" x14ac:dyDescent="0.25">
      <c r="P150" s="186"/>
    </row>
    <row r="151" spans="16:16" x14ac:dyDescent="0.25">
      <c r="P151" s="186"/>
    </row>
    <row r="152" spans="16:16" x14ac:dyDescent="0.25">
      <c r="P152" s="186"/>
    </row>
    <row r="153" spans="16:16" x14ac:dyDescent="0.25">
      <c r="P153" s="186"/>
    </row>
    <row r="154" spans="16:16" x14ac:dyDescent="0.25">
      <c r="P154" s="186"/>
    </row>
    <row r="155" spans="16:16" x14ac:dyDescent="0.25">
      <c r="P155" s="186"/>
    </row>
    <row r="156" spans="16:16" x14ac:dyDescent="0.25">
      <c r="P156" s="186"/>
    </row>
    <row r="157" spans="16:16" x14ac:dyDescent="0.25">
      <c r="P157" s="186"/>
    </row>
    <row r="158" spans="16:16" x14ac:dyDescent="0.25">
      <c r="P158" s="186"/>
    </row>
    <row r="159" spans="16:16" x14ac:dyDescent="0.25">
      <c r="P159" s="186"/>
    </row>
    <row r="160" spans="16:16" x14ac:dyDescent="0.25">
      <c r="P160" s="186"/>
    </row>
    <row r="161" spans="16:16" x14ac:dyDescent="0.25">
      <c r="P161" s="186"/>
    </row>
    <row r="162" spans="16:16" x14ac:dyDescent="0.25">
      <c r="P162" s="186"/>
    </row>
    <row r="163" spans="16:16" x14ac:dyDescent="0.25">
      <c r="P163" s="186"/>
    </row>
    <row r="164" spans="16:16" x14ac:dyDescent="0.25">
      <c r="P164" s="186"/>
    </row>
    <row r="165" spans="16:16" x14ac:dyDescent="0.25">
      <c r="P165" s="186"/>
    </row>
    <row r="166" spans="16:16" x14ac:dyDescent="0.25">
      <c r="P166" s="186"/>
    </row>
    <row r="167" spans="16:16" x14ac:dyDescent="0.25">
      <c r="P167" s="186"/>
    </row>
    <row r="168" spans="16:16" x14ac:dyDescent="0.25">
      <c r="P168" s="186"/>
    </row>
    <row r="169" spans="16:16" x14ac:dyDescent="0.25">
      <c r="P169" s="186"/>
    </row>
    <row r="170" spans="16:16" x14ac:dyDescent="0.25">
      <c r="P170" s="186"/>
    </row>
    <row r="171" spans="16:16" x14ac:dyDescent="0.25">
      <c r="P171" s="186"/>
    </row>
    <row r="172" spans="16:16" x14ac:dyDescent="0.25">
      <c r="P172" s="186"/>
    </row>
    <row r="173" spans="16:16" x14ac:dyDescent="0.25">
      <c r="P173" s="186"/>
    </row>
    <row r="174" spans="16:16" x14ac:dyDescent="0.25">
      <c r="P174" s="186"/>
    </row>
    <row r="175" spans="16:16" x14ac:dyDescent="0.25">
      <c r="P175" s="186"/>
    </row>
    <row r="176" spans="16:16" x14ac:dyDescent="0.25">
      <c r="P176" s="186"/>
    </row>
    <row r="177" spans="16:16" x14ac:dyDescent="0.25">
      <c r="P177" s="186"/>
    </row>
    <row r="178" spans="16:16" x14ac:dyDescent="0.25">
      <c r="P178" s="186"/>
    </row>
    <row r="179" spans="16:16" x14ac:dyDescent="0.25">
      <c r="P179" s="186"/>
    </row>
    <row r="180" spans="16:16" x14ac:dyDescent="0.25">
      <c r="P180" s="186"/>
    </row>
    <row r="181" spans="16:16" x14ac:dyDescent="0.25">
      <c r="P181" s="186"/>
    </row>
    <row r="182" spans="16:16" x14ac:dyDescent="0.25">
      <c r="P182" s="186"/>
    </row>
    <row r="183" spans="16:16" x14ac:dyDescent="0.25">
      <c r="P183" s="186"/>
    </row>
    <row r="184" spans="16:16" x14ac:dyDescent="0.25">
      <c r="P184" s="186"/>
    </row>
    <row r="185" spans="16:16" x14ac:dyDescent="0.25">
      <c r="P185" s="186"/>
    </row>
    <row r="186" spans="16:16" x14ac:dyDescent="0.25">
      <c r="P186" s="186"/>
    </row>
    <row r="187" spans="16:16" x14ac:dyDescent="0.25">
      <c r="P187" s="186"/>
    </row>
    <row r="188" spans="16:16" x14ac:dyDescent="0.25">
      <c r="P188" s="186"/>
    </row>
    <row r="189" spans="16:16" x14ac:dyDescent="0.25">
      <c r="P189" s="186"/>
    </row>
    <row r="190" spans="16:16" x14ac:dyDescent="0.25">
      <c r="P190" s="186"/>
    </row>
    <row r="191" spans="16:16" x14ac:dyDescent="0.25">
      <c r="P191" s="186"/>
    </row>
    <row r="192" spans="16:16" x14ac:dyDescent="0.25">
      <c r="P192" s="186"/>
    </row>
    <row r="193" spans="16:16" x14ac:dyDescent="0.25">
      <c r="P193" s="186"/>
    </row>
    <row r="194" spans="16:16" x14ac:dyDescent="0.25">
      <c r="P194" s="186"/>
    </row>
    <row r="195" spans="16:16" x14ac:dyDescent="0.25">
      <c r="P195" s="186"/>
    </row>
    <row r="196" spans="16:16" x14ac:dyDescent="0.25">
      <c r="P196" s="186"/>
    </row>
    <row r="197" spans="16:16" x14ac:dyDescent="0.25">
      <c r="P197" s="186"/>
    </row>
    <row r="198" spans="16:16" x14ac:dyDescent="0.25">
      <c r="P198" s="186"/>
    </row>
    <row r="199" spans="16:16" x14ac:dyDescent="0.25">
      <c r="P199" s="186"/>
    </row>
    <row r="200" spans="16:16" x14ac:dyDescent="0.25">
      <c r="P200" s="186"/>
    </row>
    <row r="201" spans="16:16" x14ac:dyDescent="0.25">
      <c r="P201" s="186"/>
    </row>
    <row r="202" spans="16:16" x14ac:dyDescent="0.25">
      <c r="P202" s="186"/>
    </row>
    <row r="203" spans="16:16" x14ac:dyDescent="0.25">
      <c r="P203" s="186"/>
    </row>
    <row r="204" spans="16:16" x14ac:dyDescent="0.25">
      <c r="P204" s="186"/>
    </row>
    <row r="205" spans="16:16" x14ac:dyDescent="0.25">
      <c r="P205" s="186"/>
    </row>
    <row r="206" spans="16:16" x14ac:dyDescent="0.25">
      <c r="P206" s="186"/>
    </row>
    <row r="207" spans="16:16" x14ac:dyDescent="0.25">
      <c r="P207" s="186"/>
    </row>
    <row r="208" spans="16:16" x14ac:dyDescent="0.25">
      <c r="P208" s="186"/>
    </row>
    <row r="209" spans="16:16" x14ac:dyDescent="0.25">
      <c r="P209" s="186"/>
    </row>
    <row r="210" spans="16:16" x14ac:dyDescent="0.25">
      <c r="P210" s="186"/>
    </row>
    <row r="211" spans="16:16" x14ac:dyDescent="0.25">
      <c r="P211" s="186"/>
    </row>
    <row r="212" spans="16:16" x14ac:dyDescent="0.25">
      <c r="P212" s="186"/>
    </row>
    <row r="213" spans="16:16" x14ac:dyDescent="0.25">
      <c r="P213" s="186"/>
    </row>
    <row r="214" spans="16:16" x14ac:dyDescent="0.25">
      <c r="P214" s="186"/>
    </row>
    <row r="215" spans="16:16" x14ac:dyDescent="0.25">
      <c r="P215" s="186"/>
    </row>
    <row r="216" spans="16:16" x14ac:dyDescent="0.25">
      <c r="P216" s="186"/>
    </row>
    <row r="217" spans="16:16" x14ac:dyDescent="0.25">
      <c r="P217" s="186"/>
    </row>
    <row r="218" spans="16:16" x14ac:dyDescent="0.25">
      <c r="P218" s="186"/>
    </row>
    <row r="219" spans="16:16" x14ac:dyDescent="0.25">
      <c r="P219" s="186"/>
    </row>
    <row r="220" spans="16:16" x14ac:dyDescent="0.25">
      <c r="P220" s="186"/>
    </row>
    <row r="221" spans="16:16" x14ac:dyDescent="0.25">
      <c r="P221" s="186"/>
    </row>
    <row r="222" spans="16:16" x14ac:dyDescent="0.25">
      <c r="P222" s="186"/>
    </row>
    <row r="223" spans="16:16" x14ac:dyDescent="0.25">
      <c r="P223" s="186"/>
    </row>
    <row r="224" spans="16:16" x14ac:dyDescent="0.25">
      <c r="P224" s="186"/>
    </row>
    <row r="225" spans="16:16" x14ac:dyDescent="0.25">
      <c r="P225" s="186"/>
    </row>
    <row r="226" spans="16:16" x14ac:dyDescent="0.25">
      <c r="P226" s="186"/>
    </row>
    <row r="227" spans="16:16" x14ac:dyDescent="0.25">
      <c r="P227" s="186"/>
    </row>
    <row r="228" spans="16:16" x14ac:dyDescent="0.25">
      <c r="P228" s="186"/>
    </row>
    <row r="229" spans="16:16" x14ac:dyDescent="0.25">
      <c r="P229" s="186"/>
    </row>
    <row r="230" spans="16:16" x14ac:dyDescent="0.25">
      <c r="P230" s="186"/>
    </row>
    <row r="231" spans="16:16" x14ac:dyDescent="0.25">
      <c r="P231" s="186"/>
    </row>
    <row r="232" spans="16:16" x14ac:dyDescent="0.25">
      <c r="P232" s="186"/>
    </row>
    <row r="233" spans="16:16" x14ac:dyDescent="0.25">
      <c r="P233" s="186"/>
    </row>
    <row r="234" spans="16:16" x14ac:dyDescent="0.25">
      <c r="P234" s="186"/>
    </row>
    <row r="235" spans="16:16" x14ac:dyDescent="0.25">
      <c r="P235" s="186"/>
    </row>
    <row r="236" spans="16:16" x14ac:dyDescent="0.25">
      <c r="P236" s="186"/>
    </row>
    <row r="237" spans="16:16" x14ac:dyDescent="0.25">
      <c r="P237" s="186"/>
    </row>
    <row r="238" spans="16:16" x14ac:dyDescent="0.25">
      <c r="P238" s="186"/>
    </row>
    <row r="239" spans="16:16" x14ac:dyDescent="0.25">
      <c r="P239" s="186"/>
    </row>
    <row r="240" spans="16:16" x14ac:dyDescent="0.25">
      <c r="P240" s="186"/>
    </row>
    <row r="241" spans="16:16" x14ac:dyDescent="0.25">
      <c r="P241" s="186"/>
    </row>
    <row r="242" spans="16:16" x14ac:dyDescent="0.25">
      <c r="P242" s="186"/>
    </row>
    <row r="243" spans="16:16" x14ac:dyDescent="0.25">
      <c r="P243" s="186"/>
    </row>
    <row r="244" spans="16:16" x14ac:dyDescent="0.25">
      <c r="P244" s="186"/>
    </row>
    <row r="245" spans="16:16" x14ac:dyDescent="0.25">
      <c r="P245" s="186"/>
    </row>
    <row r="246" spans="16:16" x14ac:dyDescent="0.25">
      <c r="P246" s="186"/>
    </row>
    <row r="247" spans="16:16" x14ac:dyDescent="0.25">
      <c r="P247" s="186"/>
    </row>
    <row r="248" spans="16:16" x14ac:dyDescent="0.25">
      <c r="P248" s="186"/>
    </row>
    <row r="249" spans="16:16" x14ac:dyDescent="0.25">
      <c r="P249" s="186"/>
    </row>
    <row r="250" spans="16:16" x14ac:dyDescent="0.25">
      <c r="P250" s="186"/>
    </row>
    <row r="251" spans="16:16" x14ac:dyDescent="0.25">
      <c r="P251" s="186"/>
    </row>
    <row r="252" spans="16:16" x14ac:dyDescent="0.25">
      <c r="P252" s="186"/>
    </row>
    <row r="253" spans="16:16" x14ac:dyDescent="0.25">
      <c r="P253" s="186"/>
    </row>
    <row r="254" spans="16:16" x14ac:dyDescent="0.25">
      <c r="P254" s="186"/>
    </row>
    <row r="255" spans="16:16" x14ac:dyDescent="0.25">
      <c r="P255" s="186"/>
    </row>
    <row r="256" spans="16:16" x14ac:dyDescent="0.25">
      <c r="P256" s="186"/>
    </row>
    <row r="257" spans="16:16" x14ac:dyDescent="0.25">
      <c r="P257" s="186"/>
    </row>
    <row r="258" spans="16:16" x14ac:dyDescent="0.25">
      <c r="P258" s="186"/>
    </row>
    <row r="259" spans="16:16" x14ac:dyDescent="0.25">
      <c r="P259" s="186"/>
    </row>
    <row r="260" spans="16:16" x14ac:dyDescent="0.25">
      <c r="P260" s="186"/>
    </row>
    <row r="261" spans="16:16" x14ac:dyDescent="0.25">
      <c r="P261" s="186"/>
    </row>
    <row r="262" spans="16:16" x14ac:dyDescent="0.25">
      <c r="P262" s="186"/>
    </row>
    <row r="263" spans="16:16" x14ac:dyDescent="0.25">
      <c r="P263" s="186"/>
    </row>
    <row r="264" spans="16:16" x14ac:dyDescent="0.25">
      <c r="P264" s="186"/>
    </row>
    <row r="265" spans="16:16" x14ac:dyDescent="0.25">
      <c r="P265" s="186"/>
    </row>
    <row r="266" spans="16:16" x14ac:dyDescent="0.25">
      <c r="P266" s="186"/>
    </row>
    <row r="267" spans="16:16" x14ac:dyDescent="0.25">
      <c r="P267" s="186"/>
    </row>
    <row r="268" spans="16:16" x14ac:dyDescent="0.25">
      <c r="P268" s="186"/>
    </row>
    <row r="269" spans="16:16" x14ac:dyDescent="0.25">
      <c r="P269" s="186"/>
    </row>
    <row r="270" spans="16:16" x14ac:dyDescent="0.25">
      <c r="P270" s="186"/>
    </row>
    <row r="271" spans="16:16" x14ac:dyDescent="0.25">
      <c r="P271" s="186"/>
    </row>
    <row r="272" spans="16:16" x14ac:dyDescent="0.25">
      <c r="P272" s="186"/>
    </row>
    <row r="273" spans="16:16" x14ac:dyDescent="0.25">
      <c r="P273" s="186"/>
    </row>
    <row r="274" spans="16:16" x14ac:dyDescent="0.25">
      <c r="P274" s="186"/>
    </row>
    <row r="275" spans="16:16" x14ac:dyDescent="0.25">
      <c r="P275" s="186"/>
    </row>
    <row r="276" spans="16:16" x14ac:dyDescent="0.25">
      <c r="P276" s="186"/>
    </row>
    <row r="277" spans="16:16" x14ac:dyDescent="0.25">
      <c r="P277" s="186"/>
    </row>
    <row r="278" spans="16:16" x14ac:dyDescent="0.25">
      <c r="P278" s="186"/>
    </row>
    <row r="279" spans="16:16" x14ac:dyDescent="0.25">
      <c r="P279" s="186"/>
    </row>
    <row r="280" spans="16:16" x14ac:dyDescent="0.25">
      <c r="P280" s="186"/>
    </row>
    <row r="281" spans="16:16" x14ac:dyDescent="0.25">
      <c r="P281" s="186"/>
    </row>
    <row r="282" spans="16:16" x14ac:dyDescent="0.25">
      <c r="P282" s="186"/>
    </row>
    <row r="283" spans="16:16" x14ac:dyDescent="0.25">
      <c r="P283" s="186"/>
    </row>
    <row r="284" spans="16:16" x14ac:dyDescent="0.25">
      <c r="P284" s="186"/>
    </row>
    <row r="285" spans="16:16" x14ac:dyDescent="0.25">
      <c r="P285" s="186"/>
    </row>
  </sheetData>
  <mergeCells count="39">
    <mergeCell ref="B77:C77"/>
    <mergeCell ref="D77:F77"/>
    <mergeCell ref="G77:H77"/>
    <mergeCell ref="C86:D86"/>
    <mergeCell ref="I86:J86"/>
    <mergeCell ref="B78:C78"/>
    <mergeCell ref="D78:F78"/>
    <mergeCell ref="G78:H78"/>
    <mergeCell ref="C82:D82"/>
    <mergeCell ref="I82:J82"/>
    <mergeCell ref="C85:D85"/>
    <mergeCell ref="I85:J85"/>
    <mergeCell ref="B75:C75"/>
    <mergeCell ref="D75:F75"/>
    <mergeCell ref="G75:H75"/>
    <mergeCell ref="B76:C76"/>
    <mergeCell ref="D76:F76"/>
    <mergeCell ref="G76:H76"/>
    <mergeCell ref="J9:J10"/>
    <mergeCell ref="K9:K10"/>
    <mergeCell ref="B74:C74"/>
    <mergeCell ref="D74:F74"/>
    <mergeCell ref="G74:H74"/>
    <mergeCell ref="C72:I72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A1:L1"/>
    <mergeCell ref="A3:L3"/>
    <mergeCell ref="A6:L6"/>
    <mergeCell ref="A7:L7"/>
    <mergeCell ref="C8:G8"/>
    <mergeCell ref="H8:K8"/>
  </mergeCells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T284"/>
  <sheetViews>
    <sheetView zoomScale="130" zoomScaleNormal="130" workbookViewId="0">
      <selection activeCell="E28" sqref="E28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3" width="16.5703125" style="1"/>
    <col min="14" max="14" width="16.5703125" style="1" customWidth="1"/>
    <col min="15" max="15" width="24.28515625" style="165" customWidth="1"/>
    <col min="16" max="16" width="16.5703125" style="169" customWidth="1"/>
    <col min="17" max="18" width="16.5703125" style="141"/>
    <col min="19" max="258" width="16.5703125" style="1"/>
    <col min="259" max="259" width="16.5703125" style="1" customWidth="1"/>
    <col min="260" max="263" width="12.7109375" style="1" customWidth="1"/>
    <col min="264" max="264" width="6.5703125" style="1" bestFit="1" customWidth="1"/>
    <col min="265" max="269" width="12.7109375" style="1" customWidth="1"/>
    <col min="270" max="514" width="16.5703125" style="1"/>
    <col min="515" max="515" width="16.5703125" style="1" customWidth="1"/>
    <col min="516" max="519" width="12.7109375" style="1" customWidth="1"/>
    <col min="520" max="520" width="6.5703125" style="1" bestFit="1" customWidth="1"/>
    <col min="521" max="525" width="12.7109375" style="1" customWidth="1"/>
    <col min="526" max="770" width="16.5703125" style="1"/>
    <col min="771" max="771" width="16.5703125" style="1" customWidth="1"/>
    <col min="772" max="775" width="12.7109375" style="1" customWidth="1"/>
    <col min="776" max="776" width="6.5703125" style="1" bestFit="1" customWidth="1"/>
    <col min="777" max="781" width="12.7109375" style="1" customWidth="1"/>
    <col min="782" max="1026" width="16.5703125" style="1"/>
    <col min="1027" max="1027" width="16.5703125" style="1" customWidth="1"/>
    <col min="1028" max="1031" width="12.7109375" style="1" customWidth="1"/>
    <col min="1032" max="1032" width="6.5703125" style="1" bestFit="1" customWidth="1"/>
    <col min="1033" max="1037" width="12.7109375" style="1" customWidth="1"/>
    <col min="1038" max="1282" width="16.5703125" style="1"/>
    <col min="1283" max="1283" width="16.5703125" style="1" customWidth="1"/>
    <col min="1284" max="1287" width="12.7109375" style="1" customWidth="1"/>
    <col min="1288" max="1288" width="6.5703125" style="1" bestFit="1" customWidth="1"/>
    <col min="1289" max="1293" width="12.7109375" style="1" customWidth="1"/>
    <col min="1294" max="1538" width="16.5703125" style="1"/>
    <col min="1539" max="1539" width="16.5703125" style="1" customWidth="1"/>
    <col min="1540" max="1543" width="12.7109375" style="1" customWidth="1"/>
    <col min="1544" max="1544" width="6.5703125" style="1" bestFit="1" customWidth="1"/>
    <col min="1545" max="1549" width="12.7109375" style="1" customWidth="1"/>
    <col min="1550" max="1794" width="16.5703125" style="1"/>
    <col min="1795" max="1795" width="16.5703125" style="1" customWidth="1"/>
    <col min="1796" max="1799" width="12.7109375" style="1" customWidth="1"/>
    <col min="1800" max="1800" width="6.5703125" style="1" bestFit="1" customWidth="1"/>
    <col min="1801" max="1805" width="12.7109375" style="1" customWidth="1"/>
    <col min="1806" max="2050" width="16.5703125" style="1"/>
    <col min="2051" max="2051" width="16.5703125" style="1" customWidth="1"/>
    <col min="2052" max="2055" width="12.7109375" style="1" customWidth="1"/>
    <col min="2056" max="2056" width="6.5703125" style="1" bestFit="1" customWidth="1"/>
    <col min="2057" max="2061" width="12.7109375" style="1" customWidth="1"/>
    <col min="2062" max="2306" width="16.5703125" style="1"/>
    <col min="2307" max="2307" width="16.5703125" style="1" customWidth="1"/>
    <col min="2308" max="2311" width="12.7109375" style="1" customWidth="1"/>
    <col min="2312" max="2312" width="6.5703125" style="1" bestFit="1" customWidth="1"/>
    <col min="2313" max="2317" width="12.7109375" style="1" customWidth="1"/>
    <col min="2318" max="2562" width="16.5703125" style="1"/>
    <col min="2563" max="2563" width="16.5703125" style="1" customWidth="1"/>
    <col min="2564" max="2567" width="12.7109375" style="1" customWidth="1"/>
    <col min="2568" max="2568" width="6.5703125" style="1" bestFit="1" customWidth="1"/>
    <col min="2569" max="2573" width="12.7109375" style="1" customWidth="1"/>
    <col min="2574" max="2818" width="16.5703125" style="1"/>
    <col min="2819" max="2819" width="16.5703125" style="1" customWidth="1"/>
    <col min="2820" max="2823" width="12.7109375" style="1" customWidth="1"/>
    <col min="2824" max="2824" width="6.5703125" style="1" bestFit="1" customWidth="1"/>
    <col min="2825" max="2829" width="12.7109375" style="1" customWidth="1"/>
    <col min="2830" max="3074" width="16.5703125" style="1"/>
    <col min="3075" max="3075" width="16.5703125" style="1" customWidth="1"/>
    <col min="3076" max="3079" width="12.7109375" style="1" customWidth="1"/>
    <col min="3080" max="3080" width="6.5703125" style="1" bestFit="1" customWidth="1"/>
    <col min="3081" max="3085" width="12.7109375" style="1" customWidth="1"/>
    <col min="3086" max="3330" width="16.5703125" style="1"/>
    <col min="3331" max="3331" width="16.5703125" style="1" customWidth="1"/>
    <col min="3332" max="3335" width="12.7109375" style="1" customWidth="1"/>
    <col min="3336" max="3336" width="6.5703125" style="1" bestFit="1" customWidth="1"/>
    <col min="3337" max="3341" width="12.7109375" style="1" customWidth="1"/>
    <col min="3342" max="3586" width="16.5703125" style="1"/>
    <col min="3587" max="3587" width="16.5703125" style="1" customWidth="1"/>
    <col min="3588" max="3591" width="12.7109375" style="1" customWidth="1"/>
    <col min="3592" max="3592" width="6.5703125" style="1" bestFit="1" customWidth="1"/>
    <col min="3593" max="3597" width="12.7109375" style="1" customWidth="1"/>
    <col min="3598" max="3842" width="16.5703125" style="1"/>
    <col min="3843" max="3843" width="16.5703125" style="1" customWidth="1"/>
    <col min="3844" max="3847" width="12.7109375" style="1" customWidth="1"/>
    <col min="3848" max="3848" width="6.5703125" style="1" bestFit="1" customWidth="1"/>
    <col min="3849" max="3853" width="12.7109375" style="1" customWidth="1"/>
    <col min="3854" max="4098" width="16.5703125" style="1"/>
    <col min="4099" max="4099" width="16.5703125" style="1" customWidth="1"/>
    <col min="4100" max="4103" width="12.7109375" style="1" customWidth="1"/>
    <col min="4104" max="4104" width="6.5703125" style="1" bestFit="1" customWidth="1"/>
    <col min="4105" max="4109" width="12.7109375" style="1" customWidth="1"/>
    <col min="4110" max="4354" width="16.5703125" style="1"/>
    <col min="4355" max="4355" width="16.5703125" style="1" customWidth="1"/>
    <col min="4356" max="4359" width="12.7109375" style="1" customWidth="1"/>
    <col min="4360" max="4360" width="6.5703125" style="1" bestFit="1" customWidth="1"/>
    <col min="4361" max="4365" width="12.7109375" style="1" customWidth="1"/>
    <col min="4366" max="4610" width="16.5703125" style="1"/>
    <col min="4611" max="4611" width="16.5703125" style="1" customWidth="1"/>
    <col min="4612" max="4615" width="12.7109375" style="1" customWidth="1"/>
    <col min="4616" max="4616" width="6.5703125" style="1" bestFit="1" customWidth="1"/>
    <col min="4617" max="4621" width="12.7109375" style="1" customWidth="1"/>
    <col min="4622" max="4866" width="16.5703125" style="1"/>
    <col min="4867" max="4867" width="16.5703125" style="1" customWidth="1"/>
    <col min="4868" max="4871" width="12.7109375" style="1" customWidth="1"/>
    <col min="4872" max="4872" width="6.5703125" style="1" bestFit="1" customWidth="1"/>
    <col min="4873" max="4877" width="12.7109375" style="1" customWidth="1"/>
    <col min="4878" max="5122" width="16.5703125" style="1"/>
    <col min="5123" max="5123" width="16.5703125" style="1" customWidth="1"/>
    <col min="5124" max="5127" width="12.7109375" style="1" customWidth="1"/>
    <col min="5128" max="5128" width="6.5703125" style="1" bestFit="1" customWidth="1"/>
    <col min="5129" max="5133" width="12.7109375" style="1" customWidth="1"/>
    <col min="5134" max="5378" width="16.5703125" style="1"/>
    <col min="5379" max="5379" width="16.5703125" style="1" customWidth="1"/>
    <col min="5380" max="5383" width="12.7109375" style="1" customWidth="1"/>
    <col min="5384" max="5384" width="6.5703125" style="1" bestFit="1" customWidth="1"/>
    <col min="5385" max="5389" width="12.7109375" style="1" customWidth="1"/>
    <col min="5390" max="5634" width="16.5703125" style="1"/>
    <col min="5635" max="5635" width="16.5703125" style="1" customWidth="1"/>
    <col min="5636" max="5639" width="12.7109375" style="1" customWidth="1"/>
    <col min="5640" max="5640" width="6.5703125" style="1" bestFit="1" customWidth="1"/>
    <col min="5641" max="5645" width="12.7109375" style="1" customWidth="1"/>
    <col min="5646" max="5890" width="16.5703125" style="1"/>
    <col min="5891" max="5891" width="16.5703125" style="1" customWidth="1"/>
    <col min="5892" max="5895" width="12.7109375" style="1" customWidth="1"/>
    <col min="5896" max="5896" width="6.5703125" style="1" bestFit="1" customWidth="1"/>
    <col min="5897" max="5901" width="12.7109375" style="1" customWidth="1"/>
    <col min="5902" max="6146" width="16.5703125" style="1"/>
    <col min="6147" max="6147" width="16.5703125" style="1" customWidth="1"/>
    <col min="6148" max="6151" width="12.7109375" style="1" customWidth="1"/>
    <col min="6152" max="6152" width="6.5703125" style="1" bestFit="1" customWidth="1"/>
    <col min="6153" max="6157" width="12.7109375" style="1" customWidth="1"/>
    <col min="6158" max="6402" width="16.5703125" style="1"/>
    <col min="6403" max="6403" width="16.5703125" style="1" customWidth="1"/>
    <col min="6404" max="6407" width="12.7109375" style="1" customWidth="1"/>
    <col min="6408" max="6408" width="6.5703125" style="1" bestFit="1" customWidth="1"/>
    <col min="6409" max="6413" width="12.7109375" style="1" customWidth="1"/>
    <col min="6414" max="6658" width="16.5703125" style="1"/>
    <col min="6659" max="6659" width="16.5703125" style="1" customWidth="1"/>
    <col min="6660" max="6663" width="12.7109375" style="1" customWidth="1"/>
    <col min="6664" max="6664" width="6.5703125" style="1" bestFit="1" customWidth="1"/>
    <col min="6665" max="6669" width="12.7109375" style="1" customWidth="1"/>
    <col min="6670" max="6914" width="16.5703125" style="1"/>
    <col min="6915" max="6915" width="16.5703125" style="1" customWidth="1"/>
    <col min="6916" max="6919" width="12.7109375" style="1" customWidth="1"/>
    <col min="6920" max="6920" width="6.5703125" style="1" bestFit="1" customWidth="1"/>
    <col min="6921" max="6925" width="12.7109375" style="1" customWidth="1"/>
    <col min="6926" max="7170" width="16.5703125" style="1"/>
    <col min="7171" max="7171" width="16.5703125" style="1" customWidth="1"/>
    <col min="7172" max="7175" width="12.7109375" style="1" customWidth="1"/>
    <col min="7176" max="7176" width="6.5703125" style="1" bestFit="1" customWidth="1"/>
    <col min="7177" max="7181" width="12.7109375" style="1" customWidth="1"/>
    <col min="7182" max="7426" width="16.5703125" style="1"/>
    <col min="7427" max="7427" width="16.5703125" style="1" customWidth="1"/>
    <col min="7428" max="7431" width="12.7109375" style="1" customWidth="1"/>
    <col min="7432" max="7432" width="6.5703125" style="1" bestFit="1" customWidth="1"/>
    <col min="7433" max="7437" width="12.7109375" style="1" customWidth="1"/>
    <col min="7438" max="7682" width="16.5703125" style="1"/>
    <col min="7683" max="7683" width="16.5703125" style="1" customWidth="1"/>
    <col min="7684" max="7687" width="12.7109375" style="1" customWidth="1"/>
    <col min="7688" max="7688" width="6.5703125" style="1" bestFit="1" customWidth="1"/>
    <col min="7689" max="7693" width="12.7109375" style="1" customWidth="1"/>
    <col min="7694" max="7938" width="16.5703125" style="1"/>
    <col min="7939" max="7939" width="16.5703125" style="1" customWidth="1"/>
    <col min="7940" max="7943" width="12.7109375" style="1" customWidth="1"/>
    <col min="7944" max="7944" width="6.5703125" style="1" bestFit="1" customWidth="1"/>
    <col min="7945" max="7949" width="12.7109375" style="1" customWidth="1"/>
    <col min="7950" max="8194" width="16.5703125" style="1"/>
    <col min="8195" max="8195" width="16.5703125" style="1" customWidth="1"/>
    <col min="8196" max="8199" width="12.7109375" style="1" customWidth="1"/>
    <col min="8200" max="8200" width="6.5703125" style="1" bestFit="1" customWidth="1"/>
    <col min="8201" max="8205" width="12.7109375" style="1" customWidth="1"/>
    <col min="8206" max="8450" width="16.5703125" style="1"/>
    <col min="8451" max="8451" width="16.5703125" style="1" customWidth="1"/>
    <col min="8452" max="8455" width="12.7109375" style="1" customWidth="1"/>
    <col min="8456" max="8456" width="6.5703125" style="1" bestFit="1" customWidth="1"/>
    <col min="8457" max="8461" width="12.7109375" style="1" customWidth="1"/>
    <col min="8462" max="8706" width="16.5703125" style="1"/>
    <col min="8707" max="8707" width="16.5703125" style="1" customWidth="1"/>
    <col min="8708" max="8711" width="12.7109375" style="1" customWidth="1"/>
    <col min="8712" max="8712" width="6.5703125" style="1" bestFit="1" customWidth="1"/>
    <col min="8713" max="8717" width="12.7109375" style="1" customWidth="1"/>
    <col min="8718" max="8962" width="16.5703125" style="1"/>
    <col min="8963" max="8963" width="16.5703125" style="1" customWidth="1"/>
    <col min="8964" max="8967" width="12.7109375" style="1" customWidth="1"/>
    <col min="8968" max="8968" width="6.5703125" style="1" bestFit="1" customWidth="1"/>
    <col min="8969" max="8973" width="12.7109375" style="1" customWidth="1"/>
    <col min="8974" max="9218" width="16.5703125" style="1"/>
    <col min="9219" max="9219" width="16.5703125" style="1" customWidth="1"/>
    <col min="9220" max="9223" width="12.7109375" style="1" customWidth="1"/>
    <col min="9224" max="9224" width="6.5703125" style="1" bestFit="1" customWidth="1"/>
    <col min="9225" max="9229" width="12.7109375" style="1" customWidth="1"/>
    <col min="9230" max="9474" width="16.5703125" style="1"/>
    <col min="9475" max="9475" width="16.5703125" style="1" customWidth="1"/>
    <col min="9476" max="9479" width="12.7109375" style="1" customWidth="1"/>
    <col min="9480" max="9480" width="6.5703125" style="1" bestFit="1" customWidth="1"/>
    <col min="9481" max="9485" width="12.7109375" style="1" customWidth="1"/>
    <col min="9486" max="9730" width="16.5703125" style="1"/>
    <col min="9731" max="9731" width="16.5703125" style="1" customWidth="1"/>
    <col min="9732" max="9735" width="12.7109375" style="1" customWidth="1"/>
    <col min="9736" max="9736" width="6.5703125" style="1" bestFit="1" customWidth="1"/>
    <col min="9737" max="9741" width="12.7109375" style="1" customWidth="1"/>
    <col min="9742" max="9986" width="16.5703125" style="1"/>
    <col min="9987" max="9987" width="16.5703125" style="1" customWidth="1"/>
    <col min="9988" max="9991" width="12.7109375" style="1" customWidth="1"/>
    <col min="9992" max="9992" width="6.5703125" style="1" bestFit="1" customWidth="1"/>
    <col min="9993" max="9997" width="12.7109375" style="1" customWidth="1"/>
    <col min="9998" max="10242" width="16.5703125" style="1"/>
    <col min="10243" max="10243" width="16.5703125" style="1" customWidth="1"/>
    <col min="10244" max="10247" width="12.7109375" style="1" customWidth="1"/>
    <col min="10248" max="10248" width="6.5703125" style="1" bestFit="1" customWidth="1"/>
    <col min="10249" max="10253" width="12.7109375" style="1" customWidth="1"/>
    <col min="10254" max="10498" width="16.5703125" style="1"/>
    <col min="10499" max="10499" width="16.5703125" style="1" customWidth="1"/>
    <col min="10500" max="10503" width="12.7109375" style="1" customWidth="1"/>
    <col min="10504" max="10504" width="6.5703125" style="1" bestFit="1" customWidth="1"/>
    <col min="10505" max="10509" width="12.7109375" style="1" customWidth="1"/>
    <col min="10510" max="10754" width="16.5703125" style="1"/>
    <col min="10755" max="10755" width="16.5703125" style="1" customWidth="1"/>
    <col min="10756" max="10759" width="12.7109375" style="1" customWidth="1"/>
    <col min="10760" max="10760" width="6.5703125" style="1" bestFit="1" customWidth="1"/>
    <col min="10761" max="10765" width="12.7109375" style="1" customWidth="1"/>
    <col min="10766" max="11010" width="16.5703125" style="1"/>
    <col min="11011" max="11011" width="16.5703125" style="1" customWidth="1"/>
    <col min="11012" max="11015" width="12.7109375" style="1" customWidth="1"/>
    <col min="11016" max="11016" width="6.5703125" style="1" bestFit="1" customWidth="1"/>
    <col min="11017" max="11021" width="12.7109375" style="1" customWidth="1"/>
    <col min="11022" max="11266" width="16.5703125" style="1"/>
    <col min="11267" max="11267" width="16.5703125" style="1" customWidth="1"/>
    <col min="11268" max="11271" width="12.7109375" style="1" customWidth="1"/>
    <col min="11272" max="11272" width="6.5703125" style="1" bestFit="1" customWidth="1"/>
    <col min="11273" max="11277" width="12.7109375" style="1" customWidth="1"/>
    <col min="11278" max="11522" width="16.5703125" style="1"/>
    <col min="11523" max="11523" width="16.5703125" style="1" customWidth="1"/>
    <col min="11524" max="11527" width="12.7109375" style="1" customWidth="1"/>
    <col min="11528" max="11528" width="6.5703125" style="1" bestFit="1" customWidth="1"/>
    <col min="11529" max="11533" width="12.7109375" style="1" customWidth="1"/>
    <col min="11534" max="11778" width="16.5703125" style="1"/>
    <col min="11779" max="11779" width="16.5703125" style="1" customWidth="1"/>
    <col min="11780" max="11783" width="12.7109375" style="1" customWidth="1"/>
    <col min="11784" max="11784" width="6.5703125" style="1" bestFit="1" customWidth="1"/>
    <col min="11785" max="11789" width="12.7109375" style="1" customWidth="1"/>
    <col min="11790" max="12034" width="16.5703125" style="1"/>
    <col min="12035" max="12035" width="16.5703125" style="1" customWidth="1"/>
    <col min="12036" max="12039" width="12.7109375" style="1" customWidth="1"/>
    <col min="12040" max="12040" width="6.5703125" style="1" bestFit="1" customWidth="1"/>
    <col min="12041" max="12045" width="12.7109375" style="1" customWidth="1"/>
    <col min="12046" max="12290" width="16.5703125" style="1"/>
    <col min="12291" max="12291" width="16.5703125" style="1" customWidth="1"/>
    <col min="12292" max="12295" width="12.7109375" style="1" customWidth="1"/>
    <col min="12296" max="12296" width="6.5703125" style="1" bestFit="1" customWidth="1"/>
    <col min="12297" max="12301" width="12.7109375" style="1" customWidth="1"/>
    <col min="12302" max="12546" width="16.5703125" style="1"/>
    <col min="12547" max="12547" width="16.5703125" style="1" customWidth="1"/>
    <col min="12548" max="12551" width="12.7109375" style="1" customWidth="1"/>
    <col min="12552" max="12552" width="6.5703125" style="1" bestFit="1" customWidth="1"/>
    <col min="12553" max="12557" width="12.7109375" style="1" customWidth="1"/>
    <col min="12558" max="12802" width="16.5703125" style="1"/>
    <col min="12803" max="12803" width="16.5703125" style="1" customWidth="1"/>
    <col min="12804" max="12807" width="12.7109375" style="1" customWidth="1"/>
    <col min="12808" max="12808" width="6.5703125" style="1" bestFit="1" customWidth="1"/>
    <col min="12809" max="12813" width="12.7109375" style="1" customWidth="1"/>
    <col min="12814" max="13058" width="16.5703125" style="1"/>
    <col min="13059" max="13059" width="16.5703125" style="1" customWidth="1"/>
    <col min="13060" max="13063" width="12.7109375" style="1" customWidth="1"/>
    <col min="13064" max="13064" width="6.5703125" style="1" bestFit="1" customWidth="1"/>
    <col min="13065" max="13069" width="12.7109375" style="1" customWidth="1"/>
    <col min="13070" max="13314" width="16.5703125" style="1"/>
    <col min="13315" max="13315" width="16.5703125" style="1" customWidth="1"/>
    <col min="13316" max="13319" width="12.7109375" style="1" customWidth="1"/>
    <col min="13320" max="13320" width="6.5703125" style="1" bestFit="1" customWidth="1"/>
    <col min="13321" max="13325" width="12.7109375" style="1" customWidth="1"/>
    <col min="13326" max="13570" width="16.5703125" style="1"/>
    <col min="13571" max="13571" width="16.5703125" style="1" customWidth="1"/>
    <col min="13572" max="13575" width="12.7109375" style="1" customWidth="1"/>
    <col min="13576" max="13576" width="6.5703125" style="1" bestFit="1" customWidth="1"/>
    <col min="13577" max="13581" width="12.7109375" style="1" customWidth="1"/>
    <col min="13582" max="13826" width="16.5703125" style="1"/>
    <col min="13827" max="13827" width="16.5703125" style="1" customWidth="1"/>
    <col min="13828" max="13831" width="12.7109375" style="1" customWidth="1"/>
    <col min="13832" max="13832" width="6.5703125" style="1" bestFit="1" customWidth="1"/>
    <col min="13833" max="13837" width="12.7109375" style="1" customWidth="1"/>
    <col min="13838" max="14082" width="16.5703125" style="1"/>
    <col min="14083" max="14083" width="16.5703125" style="1" customWidth="1"/>
    <col min="14084" max="14087" width="12.7109375" style="1" customWidth="1"/>
    <col min="14088" max="14088" width="6.5703125" style="1" bestFit="1" customWidth="1"/>
    <col min="14089" max="14093" width="12.7109375" style="1" customWidth="1"/>
    <col min="14094" max="14338" width="16.5703125" style="1"/>
    <col min="14339" max="14339" width="16.5703125" style="1" customWidth="1"/>
    <col min="14340" max="14343" width="12.7109375" style="1" customWidth="1"/>
    <col min="14344" max="14344" width="6.5703125" style="1" bestFit="1" customWidth="1"/>
    <col min="14345" max="14349" width="12.7109375" style="1" customWidth="1"/>
    <col min="14350" max="14594" width="16.5703125" style="1"/>
    <col min="14595" max="14595" width="16.5703125" style="1" customWidth="1"/>
    <col min="14596" max="14599" width="12.7109375" style="1" customWidth="1"/>
    <col min="14600" max="14600" width="6.5703125" style="1" bestFit="1" customWidth="1"/>
    <col min="14601" max="14605" width="12.7109375" style="1" customWidth="1"/>
    <col min="14606" max="14850" width="16.5703125" style="1"/>
    <col min="14851" max="14851" width="16.5703125" style="1" customWidth="1"/>
    <col min="14852" max="14855" width="12.7109375" style="1" customWidth="1"/>
    <col min="14856" max="14856" width="6.5703125" style="1" bestFit="1" customWidth="1"/>
    <col min="14857" max="14861" width="12.7109375" style="1" customWidth="1"/>
    <col min="14862" max="15106" width="16.5703125" style="1"/>
    <col min="15107" max="15107" width="16.5703125" style="1" customWidth="1"/>
    <col min="15108" max="15111" width="12.7109375" style="1" customWidth="1"/>
    <col min="15112" max="15112" width="6.5703125" style="1" bestFit="1" customWidth="1"/>
    <col min="15113" max="15117" width="12.7109375" style="1" customWidth="1"/>
    <col min="15118" max="15362" width="16.5703125" style="1"/>
    <col min="15363" max="15363" width="16.5703125" style="1" customWidth="1"/>
    <col min="15364" max="15367" width="12.7109375" style="1" customWidth="1"/>
    <col min="15368" max="15368" width="6.5703125" style="1" bestFit="1" customWidth="1"/>
    <col min="15369" max="15373" width="12.7109375" style="1" customWidth="1"/>
    <col min="15374" max="15618" width="16.5703125" style="1"/>
    <col min="15619" max="15619" width="16.5703125" style="1" customWidth="1"/>
    <col min="15620" max="15623" width="12.7109375" style="1" customWidth="1"/>
    <col min="15624" max="15624" width="6.5703125" style="1" bestFit="1" customWidth="1"/>
    <col min="15625" max="15629" width="12.7109375" style="1" customWidth="1"/>
    <col min="15630" max="15874" width="16.5703125" style="1"/>
    <col min="15875" max="15875" width="16.5703125" style="1" customWidth="1"/>
    <col min="15876" max="15879" width="12.7109375" style="1" customWidth="1"/>
    <col min="15880" max="15880" width="6.5703125" style="1" bestFit="1" customWidth="1"/>
    <col min="15881" max="15885" width="12.7109375" style="1" customWidth="1"/>
    <col min="15886" max="16130" width="16.5703125" style="1"/>
    <col min="16131" max="16131" width="16.5703125" style="1" customWidth="1"/>
    <col min="16132" max="16135" width="12.7109375" style="1" customWidth="1"/>
    <col min="16136" max="16136" width="6.5703125" style="1" bestFit="1" customWidth="1"/>
    <col min="16137" max="16141" width="12.7109375" style="1" customWidth="1"/>
    <col min="16142" max="16384" width="16.5703125" style="1"/>
  </cols>
  <sheetData>
    <row r="1" spans="1:18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231"/>
      <c r="N1" s="230"/>
      <c r="P1" s="186"/>
    </row>
    <row r="2" spans="1:18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86"/>
    </row>
    <row r="3" spans="1:18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231"/>
      <c r="N3" s="230"/>
      <c r="P3" s="186"/>
    </row>
    <row r="4" spans="1:18" x14ac:dyDescent="0.25">
      <c r="A4" s="3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/>
      <c r="N4" s="230"/>
      <c r="P4" s="186"/>
    </row>
    <row r="5" spans="1:18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  <c r="P5" s="186"/>
    </row>
    <row r="6" spans="1:18" x14ac:dyDescent="0.25">
      <c r="A6" s="334" t="s">
        <v>54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231"/>
      <c r="P6" s="186"/>
    </row>
    <row r="7" spans="1:18" x14ac:dyDescent="0.25">
      <c r="A7" s="334" t="s">
        <v>137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231"/>
      <c r="P7" s="186"/>
    </row>
    <row r="8" spans="1:18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  <c r="P8" s="186"/>
    </row>
    <row r="9" spans="1:18" s="17" customForma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30"/>
      <c r="N9" s="30"/>
      <c r="O9" s="166"/>
      <c r="P9" s="187"/>
      <c r="Q9" s="142"/>
      <c r="R9" s="142"/>
    </row>
    <row r="10" spans="1:18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M10" s="30"/>
      <c r="N10" s="30"/>
      <c r="P10" s="186"/>
      <c r="Q10" s="151"/>
    </row>
    <row r="11" spans="1:18" s="17" customFormat="1" x14ac:dyDescent="0.25">
      <c r="A11" s="139" t="s">
        <v>18</v>
      </c>
      <c r="B11" s="14">
        <v>14556397.630000001</v>
      </c>
      <c r="C11" s="14">
        <v>8721691.1300000008</v>
      </c>
      <c r="D11" s="11">
        <v>0</v>
      </c>
      <c r="E11" s="14">
        <v>6698248.2400000002</v>
      </c>
      <c r="F11" s="14">
        <f>+E11/C11</f>
        <v>0.76799879061986454</v>
      </c>
      <c r="G11" s="14">
        <f>+C11+D11-E11</f>
        <v>2023442.8900000006</v>
      </c>
      <c r="H11" s="11">
        <f>12650.35+1358241.63+5000</f>
        <v>1375891.98</v>
      </c>
      <c r="I11" s="14">
        <f>1059478.12+60761.2</f>
        <v>1120239.32</v>
      </c>
      <c r="J11" s="14">
        <f>10616+462072.41</f>
        <v>472688.41</v>
      </c>
      <c r="K11" s="14">
        <f>H11+I11-J11</f>
        <v>2023442.89</v>
      </c>
      <c r="L11" s="15">
        <f>+F11</f>
        <v>0.76799879061986454</v>
      </c>
      <c r="M11" s="163"/>
      <c r="N11" s="163"/>
      <c r="O11" s="62">
        <f>+K11-G11</f>
        <v>0</v>
      </c>
      <c r="P11" s="114"/>
      <c r="Q11" s="153"/>
      <c r="R11" s="142"/>
    </row>
    <row r="12" spans="1:18" x14ac:dyDescent="0.2">
      <c r="A12" s="139" t="s">
        <v>20</v>
      </c>
      <c r="B12" s="14">
        <v>30330208</v>
      </c>
      <c r="C12" s="11">
        <v>19082673.940000001</v>
      </c>
      <c r="D12" s="11">
        <v>0</v>
      </c>
      <c r="E12" s="14">
        <v>19506336.620000001</v>
      </c>
      <c r="F12" s="14">
        <f t="shared" ref="F12:F17" si="0">+E12/C12</f>
        <v>1.0222014315882608</v>
      </c>
      <c r="G12" s="14">
        <f t="shared" ref="G12:G23" si="1">+C12+D12-E12</f>
        <v>-423662.6799999997</v>
      </c>
      <c r="H12" s="11">
        <f>30000+202763.43</f>
        <v>232763.43</v>
      </c>
      <c r="I12" s="14">
        <f>541295.09+46051.8</f>
        <v>587346.89</v>
      </c>
      <c r="J12" s="14">
        <f>515309-2000+730464</f>
        <v>1243773</v>
      </c>
      <c r="K12" s="14">
        <f t="shared" ref="K12:K20" si="2">H12+I12-J12</f>
        <v>-423662.67999999993</v>
      </c>
      <c r="L12" s="15">
        <f t="shared" ref="L12:L23" si="3">+F12</f>
        <v>1.0222014315882608</v>
      </c>
      <c r="M12" s="163"/>
      <c r="N12" s="163"/>
      <c r="O12" s="62">
        <f>+K12-G12</f>
        <v>0</v>
      </c>
      <c r="P12" s="189"/>
      <c r="Q12" s="151"/>
    </row>
    <row r="13" spans="1:18" x14ac:dyDescent="0.2">
      <c r="A13" s="139" t="s">
        <v>21</v>
      </c>
      <c r="B13" s="14">
        <v>281207</v>
      </c>
      <c r="C13" s="11">
        <v>261762.08</v>
      </c>
      <c r="D13" s="11">
        <v>0</v>
      </c>
      <c r="E13" s="11">
        <v>185600</v>
      </c>
      <c r="F13" s="14">
        <f t="shared" si="0"/>
        <v>0.70904082058027662</v>
      </c>
      <c r="G13" s="14">
        <f t="shared" si="1"/>
        <v>76162.079999999987</v>
      </c>
      <c r="H13" s="11">
        <v>76162.080000000002</v>
      </c>
      <c r="I13" s="14">
        <v>0</v>
      </c>
      <c r="J13" s="14">
        <v>0</v>
      </c>
      <c r="K13" s="14">
        <f t="shared" si="2"/>
        <v>76162.080000000002</v>
      </c>
      <c r="L13" s="15">
        <f t="shared" si="3"/>
        <v>0.70904082058027662</v>
      </c>
      <c r="M13" s="163"/>
      <c r="N13" s="163"/>
      <c r="O13" s="62">
        <f>+K13-G13</f>
        <v>0</v>
      </c>
      <c r="P13" s="116"/>
    </row>
    <row r="14" spans="1:18" x14ac:dyDescent="0.2">
      <c r="A14" s="139" t="s">
        <v>22</v>
      </c>
      <c r="B14" s="14">
        <v>573761</v>
      </c>
      <c r="C14" s="11">
        <v>374646.59</v>
      </c>
      <c r="D14" s="11">
        <v>0</v>
      </c>
      <c r="E14" s="11">
        <v>278400</v>
      </c>
      <c r="F14" s="14">
        <f t="shared" si="0"/>
        <v>0.7431003175552725</v>
      </c>
      <c r="G14" s="14">
        <f t="shared" si="1"/>
        <v>96246.590000000026</v>
      </c>
      <c r="H14" s="11">
        <v>96246.59</v>
      </c>
      <c r="I14" s="14">
        <v>0</v>
      </c>
      <c r="J14" s="14">
        <v>0</v>
      </c>
      <c r="K14" s="14">
        <f t="shared" si="2"/>
        <v>96246.59</v>
      </c>
      <c r="L14" s="15">
        <f t="shared" si="3"/>
        <v>0.7431003175552725</v>
      </c>
      <c r="M14" s="163"/>
      <c r="N14" s="163"/>
      <c r="O14" s="62">
        <f>+K14-G14</f>
        <v>0</v>
      </c>
      <c r="P14" s="116"/>
    </row>
    <row r="15" spans="1:18" x14ac:dyDescent="0.2">
      <c r="A15" s="139" t="s">
        <v>23</v>
      </c>
      <c r="B15" s="14">
        <v>1398350</v>
      </c>
      <c r="C15" s="11">
        <v>878690.33</v>
      </c>
      <c r="D15" s="11">
        <v>0</v>
      </c>
      <c r="E15" s="11">
        <v>121900.29</v>
      </c>
      <c r="F15" s="14">
        <f t="shared" si="0"/>
        <v>0.13872952260667304</v>
      </c>
      <c r="G15" s="14">
        <f t="shared" si="1"/>
        <v>756790.03999999992</v>
      </c>
      <c r="H15" s="11">
        <v>256790.04</v>
      </c>
      <c r="I15" s="14">
        <v>500000</v>
      </c>
      <c r="J15" s="14">
        <v>0</v>
      </c>
      <c r="K15" s="14">
        <f t="shared" si="2"/>
        <v>756790.04</v>
      </c>
      <c r="L15" s="15">
        <f t="shared" si="3"/>
        <v>0.13872952260667304</v>
      </c>
      <c r="M15" s="163"/>
      <c r="N15" s="163"/>
      <c r="O15" s="62">
        <f t="shared" ref="O15:O21" si="4">+K15-G15</f>
        <v>0</v>
      </c>
      <c r="P15" s="190"/>
    </row>
    <row r="16" spans="1:18" x14ac:dyDescent="0.2">
      <c r="A16" s="139" t="s">
        <v>24</v>
      </c>
      <c r="B16" s="14">
        <v>14692367</v>
      </c>
      <c r="C16" s="11">
        <v>10440869.24</v>
      </c>
      <c r="D16" s="11">
        <v>0</v>
      </c>
      <c r="E16" s="14">
        <v>10011668.18</v>
      </c>
      <c r="F16" s="14">
        <f t="shared" si="0"/>
        <v>0.95889221001296632</v>
      </c>
      <c r="G16" s="14">
        <f t="shared" si="1"/>
        <v>429201.06000000052</v>
      </c>
      <c r="H16" s="11">
        <v>1026759.09</v>
      </c>
      <c r="I16" s="14">
        <v>18500</v>
      </c>
      <c r="J16" s="14">
        <f>239402+2000+374656.03</f>
        <v>616058.03</v>
      </c>
      <c r="K16" s="14">
        <f t="shared" si="2"/>
        <v>429201.05999999994</v>
      </c>
      <c r="L16" s="15">
        <f t="shared" si="3"/>
        <v>0.95889221001296632</v>
      </c>
      <c r="M16" s="163"/>
      <c r="N16" s="163"/>
      <c r="O16" s="62">
        <f>+K16-G16</f>
        <v>-5.8207660913467407E-10</v>
      </c>
      <c r="P16" s="190"/>
      <c r="Q16" s="151"/>
    </row>
    <row r="17" spans="1:20" x14ac:dyDescent="0.2">
      <c r="A17" s="139" t="s">
        <v>25</v>
      </c>
      <c r="B17" s="14">
        <v>1081241</v>
      </c>
      <c r="C17" s="11">
        <v>784248.92</v>
      </c>
      <c r="D17" s="11">
        <v>0</v>
      </c>
      <c r="E17" s="14">
        <v>599381.71</v>
      </c>
      <c r="F17" s="14">
        <f t="shared" si="0"/>
        <v>0.76427482998637719</v>
      </c>
      <c r="G17" s="14">
        <f t="shared" si="1"/>
        <v>184867.21000000008</v>
      </c>
      <c r="H17" s="11">
        <v>133152.34</v>
      </c>
      <c r="I17" s="14">
        <v>51714.87</v>
      </c>
      <c r="J17" s="14">
        <v>0</v>
      </c>
      <c r="K17" s="14">
        <f t="shared" si="2"/>
        <v>184867.21</v>
      </c>
      <c r="L17" s="15">
        <f t="shared" si="3"/>
        <v>0.76427482998637719</v>
      </c>
      <c r="M17" s="163"/>
      <c r="N17" s="163"/>
      <c r="O17" s="62">
        <f t="shared" si="4"/>
        <v>0</v>
      </c>
      <c r="P17" s="190"/>
    </row>
    <row r="18" spans="1:20" x14ac:dyDescent="0.2">
      <c r="A18" s="139" t="s">
        <v>53</v>
      </c>
      <c r="B18" s="14">
        <v>688065.66</v>
      </c>
      <c r="C18" s="11">
        <v>647629.66</v>
      </c>
      <c r="D18" s="11">
        <v>0</v>
      </c>
      <c r="E18" s="11">
        <v>500404</v>
      </c>
      <c r="F18" s="14">
        <v>0</v>
      </c>
      <c r="G18" s="14">
        <f t="shared" si="1"/>
        <v>147225.66000000003</v>
      </c>
      <c r="H18" s="11">
        <v>88065.66</v>
      </c>
      <c r="I18" s="14">
        <v>59160</v>
      </c>
      <c r="J18" s="14">
        <v>0</v>
      </c>
      <c r="K18" s="14">
        <f t="shared" si="2"/>
        <v>147225.66</v>
      </c>
      <c r="L18" s="15">
        <f t="shared" si="3"/>
        <v>0</v>
      </c>
      <c r="M18" s="163"/>
      <c r="N18" s="163"/>
      <c r="O18" s="62">
        <f t="shared" si="4"/>
        <v>0</v>
      </c>
      <c r="P18" s="190"/>
    </row>
    <row r="19" spans="1:20" x14ac:dyDescent="0.2">
      <c r="A19" s="139" t="s">
        <v>27</v>
      </c>
      <c r="B19" s="14">
        <v>0</v>
      </c>
      <c r="C19" s="11">
        <v>0</v>
      </c>
      <c r="D19" s="11">
        <v>0</v>
      </c>
      <c r="E19" s="11">
        <v>0</v>
      </c>
      <c r="F19" s="14">
        <v>0</v>
      </c>
      <c r="G19" s="14">
        <f t="shared" si="1"/>
        <v>0</v>
      </c>
      <c r="H19" s="11">
        <v>0</v>
      </c>
      <c r="I19" s="14">
        <v>0</v>
      </c>
      <c r="J19" s="14">
        <v>0</v>
      </c>
      <c r="K19" s="14">
        <f t="shared" si="2"/>
        <v>0</v>
      </c>
      <c r="L19" s="15">
        <f t="shared" si="3"/>
        <v>0</v>
      </c>
      <c r="M19" s="163"/>
      <c r="N19" s="163"/>
      <c r="O19" s="62">
        <f t="shared" si="4"/>
        <v>0</v>
      </c>
      <c r="P19" s="190"/>
    </row>
    <row r="20" spans="1:20" x14ac:dyDescent="0.2">
      <c r="A20" s="139" t="s">
        <v>28</v>
      </c>
      <c r="B20" s="14">
        <v>60011</v>
      </c>
      <c r="C20" s="11">
        <v>40007.97</v>
      </c>
      <c r="D20" s="11">
        <v>0</v>
      </c>
      <c r="E20" s="11">
        <v>0</v>
      </c>
      <c r="F20" s="14">
        <v>0</v>
      </c>
      <c r="G20" s="14">
        <f t="shared" si="1"/>
        <v>40007.97</v>
      </c>
      <c r="H20" s="11">
        <v>40007.97</v>
      </c>
      <c r="I20" s="14">
        <v>0</v>
      </c>
      <c r="J20" s="14">
        <v>0</v>
      </c>
      <c r="K20" s="14">
        <f t="shared" si="2"/>
        <v>40007.97</v>
      </c>
      <c r="L20" s="15">
        <f t="shared" si="3"/>
        <v>0</v>
      </c>
      <c r="M20" s="163"/>
      <c r="N20" s="163"/>
      <c r="O20" s="62">
        <f t="shared" si="4"/>
        <v>0</v>
      </c>
      <c r="P20" s="152"/>
    </row>
    <row r="21" spans="1:20" ht="27" x14ac:dyDescent="0.2">
      <c r="A21" s="139" t="s">
        <v>136</v>
      </c>
      <c r="B21" s="14">
        <v>506205</v>
      </c>
      <c r="C21" s="11">
        <v>0</v>
      </c>
      <c r="D21" s="11">
        <v>0</v>
      </c>
      <c r="E21" s="11">
        <v>0</v>
      </c>
      <c r="F21" s="14"/>
      <c r="G21" s="14">
        <f>+C21+D21-E21</f>
        <v>0</v>
      </c>
      <c r="H21" s="11">
        <v>5000</v>
      </c>
      <c r="I21" s="14">
        <v>0</v>
      </c>
      <c r="J21" s="14">
        <v>0</v>
      </c>
      <c r="K21" s="14">
        <v>0</v>
      </c>
      <c r="L21" s="15">
        <f t="shared" si="3"/>
        <v>0</v>
      </c>
      <c r="M21" s="163"/>
      <c r="N21" s="163"/>
      <c r="O21" s="62">
        <f t="shared" si="4"/>
        <v>0</v>
      </c>
      <c r="P21" s="152"/>
    </row>
    <row r="22" spans="1:20" x14ac:dyDescent="0.2">
      <c r="A22" s="139" t="s">
        <v>29</v>
      </c>
      <c r="B22" s="14">
        <v>27972730</v>
      </c>
      <c r="C22" s="11">
        <v>23486448</v>
      </c>
      <c r="D22" s="11">
        <v>51054.83</v>
      </c>
      <c r="E22" s="11">
        <v>0</v>
      </c>
      <c r="F22" s="14">
        <f>+E22/C22</f>
        <v>0</v>
      </c>
      <c r="G22" s="14">
        <f>+C22+D22-E22</f>
        <v>23537502.829999998</v>
      </c>
      <c r="H22" s="11">
        <f>2938238.96+18783817.32</f>
        <v>21722056.280000001</v>
      </c>
      <c r="I22" s="14">
        <v>1815446.55</v>
      </c>
      <c r="J22" s="14">
        <v>0</v>
      </c>
      <c r="K22" s="14">
        <f>H22+I22-J22</f>
        <v>23537502.830000002</v>
      </c>
      <c r="L22" s="15">
        <f t="shared" si="3"/>
        <v>0</v>
      </c>
      <c r="M22" s="163"/>
      <c r="N22" s="163"/>
      <c r="O22" s="62">
        <f>+K22-G22</f>
        <v>0</v>
      </c>
      <c r="P22" s="152"/>
    </row>
    <row r="23" spans="1:20" x14ac:dyDescent="0.2">
      <c r="A23" s="139" t="s">
        <v>30</v>
      </c>
      <c r="B23" s="14">
        <v>22883119</v>
      </c>
      <c r="C23" s="11">
        <v>15378063.76</v>
      </c>
      <c r="D23" s="11">
        <v>0</v>
      </c>
      <c r="E23" s="14">
        <v>15191601.130000001</v>
      </c>
      <c r="F23" s="14">
        <f>+E23/C23</f>
        <v>0.98787476545096609</v>
      </c>
      <c r="G23" s="14">
        <f t="shared" si="1"/>
        <v>186462.62999999896</v>
      </c>
      <c r="H23" s="11">
        <v>1776416.03</v>
      </c>
      <c r="I23" s="14">
        <f>574.2+24770</f>
        <v>25344.2</v>
      </c>
      <c r="J23" s="14">
        <f>77355+1537942.6</f>
        <v>1615297.6</v>
      </c>
      <c r="K23" s="14">
        <f>H23+I23-J23</f>
        <v>186462.62999999989</v>
      </c>
      <c r="L23" s="15">
        <f t="shared" si="3"/>
        <v>0.98787476545096609</v>
      </c>
      <c r="M23" s="163"/>
      <c r="N23" s="163"/>
      <c r="O23" s="107">
        <f>+K23-G23</f>
        <v>9.3132257461547852E-10</v>
      </c>
      <c r="P23" s="157"/>
      <c r="S23" s="141"/>
      <c r="T23" s="144"/>
    </row>
    <row r="24" spans="1:20" x14ac:dyDescent="0.2">
      <c r="A24" s="139" t="s">
        <v>57</v>
      </c>
      <c r="B24" s="11">
        <v>1483495.05</v>
      </c>
      <c r="C24" s="11">
        <v>1483495.05</v>
      </c>
      <c r="D24" s="11">
        <v>4061.98</v>
      </c>
      <c r="E24" s="14">
        <v>0</v>
      </c>
      <c r="F24" s="14">
        <f>+E24/C24</f>
        <v>0</v>
      </c>
      <c r="G24" s="14">
        <f>+C24+D24-E24</f>
        <v>1487557.03</v>
      </c>
      <c r="H24" s="11">
        <v>604818.02</v>
      </c>
      <c r="I24" s="14">
        <v>887739.01</v>
      </c>
      <c r="J24" s="14">
        <v>5000</v>
      </c>
      <c r="K24" s="14">
        <f>H24+I24-J24</f>
        <v>1487557.03</v>
      </c>
      <c r="L24" s="15">
        <f>+F24</f>
        <v>0</v>
      </c>
      <c r="M24" s="163"/>
      <c r="N24" s="163"/>
      <c r="O24" s="107">
        <f>+K24-G24</f>
        <v>0</v>
      </c>
      <c r="P24" s="157"/>
      <c r="S24" s="141"/>
      <c r="T24" s="144"/>
    </row>
    <row r="25" spans="1:20" ht="40.5" x14ac:dyDescent="0.2">
      <c r="A25" s="139" t="s">
        <v>135</v>
      </c>
      <c r="B25" s="14">
        <v>200000</v>
      </c>
      <c r="C25" s="11">
        <v>200000</v>
      </c>
      <c r="D25" s="11">
        <v>113.52</v>
      </c>
      <c r="E25" s="14">
        <v>7000</v>
      </c>
      <c r="F25" s="14">
        <f>+E25/C25</f>
        <v>3.5000000000000003E-2</v>
      </c>
      <c r="G25" s="14">
        <f>+C25+D25-E25</f>
        <v>193113.52</v>
      </c>
      <c r="H25" s="11">
        <v>193000</v>
      </c>
      <c r="I25" s="14">
        <v>180000</v>
      </c>
      <c r="J25" s="14">
        <v>179886.48</v>
      </c>
      <c r="K25" s="14">
        <f>H25+I25-J25</f>
        <v>193113.52</v>
      </c>
      <c r="L25" s="15">
        <f>+F25</f>
        <v>3.5000000000000003E-2</v>
      </c>
      <c r="M25" s="163"/>
      <c r="N25" s="163"/>
      <c r="O25" s="107">
        <f>+K25-G25</f>
        <v>0</v>
      </c>
      <c r="P25" s="157"/>
      <c r="S25" s="141"/>
      <c r="T25" s="144"/>
    </row>
    <row r="26" spans="1:20" s="5" customFormat="1" x14ac:dyDescent="0.2">
      <c r="A26" s="20" t="s">
        <v>60</v>
      </c>
      <c r="B26" s="21">
        <f t="shared" ref="B26:K26" si="5">SUM(B11:B25)</f>
        <v>116707157.33999999</v>
      </c>
      <c r="C26" s="21">
        <f t="shared" si="5"/>
        <v>81780226.669999987</v>
      </c>
      <c r="D26" s="21">
        <f t="shared" si="5"/>
        <v>55230.33</v>
      </c>
      <c r="E26" s="21">
        <f t="shared" si="5"/>
        <v>53100540.170000002</v>
      </c>
      <c r="F26" s="21">
        <f t="shared" si="5"/>
        <v>6.1271126884006568</v>
      </c>
      <c r="G26" s="21">
        <f t="shared" si="5"/>
        <v>28734916.829999998</v>
      </c>
      <c r="H26" s="21">
        <f t="shared" si="5"/>
        <v>27627129.510000002</v>
      </c>
      <c r="I26" s="21">
        <f t="shared" si="5"/>
        <v>5245490.84</v>
      </c>
      <c r="J26" s="21">
        <f t="shared" si="5"/>
        <v>4132703.52</v>
      </c>
      <c r="K26" s="21">
        <f t="shared" si="5"/>
        <v>28734916.830000002</v>
      </c>
      <c r="L26" s="23"/>
      <c r="M26" s="164"/>
      <c r="N26" s="164"/>
      <c r="O26" s="118">
        <f>SUM(O11:O23)</f>
        <v>3.4924596548080444E-10</v>
      </c>
      <c r="P26" s="203"/>
      <c r="Q26" s="143"/>
      <c r="R26" s="143">
        <f>+C26+D26</f>
        <v>81835456.999999985</v>
      </c>
    </row>
    <row r="27" spans="1:20" s="17" customFormat="1" x14ac:dyDescent="0.25">
      <c r="A27" s="139" t="s">
        <v>18</v>
      </c>
      <c r="B27" s="10">
        <v>9668787.5</v>
      </c>
      <c r="C27" s="10">
        <f>+B27-8808992.11</f>
        <v>859795.3900000006</v>
      </c>
      <c r="D27" s="11">
        <v>0</v>
      </c>
      <c r="E27" s="10">
        <v>126202.22</v>
      </c>
      <c r="F27" s="12">
        <f>+E27/C27</f>
        <v>0.14678168953662327</v>
      </c>
      <c r="G27" s="109">
        <f t="shared" ref="G27:G40" si="6">+C27+D27-E27</f>
        <v>733593.17000000062</v>
      </c>
      <c r="H27" s="11">
        <v>760336.44</v>
      </c>
      <c r="I27" s="14">
        <f>35750.7+49054.32+10000+17400</f>
        <v>112205.01999999999</v>
      </c>
      <c r="J27" s="14">
        <f>42293+3275.91+3277.52+90101.86</f>
        <v>138948.29</v>
      </c>
      <c r="K27" s="14">
        <f>H27+I27-J27</f>
        <v>733593.16999999993</v>
      </c>
      <c r="L27" s="15">
        <f>+F27</f>
        <v>0.14678168953662327</v>
      </c>
      <c r="M27" s="163"/>
      <c r="N27" s="163"/>
      <c r="O27" s="62">
        <f t="shared" ref="O27:O40" si="7">+K27-G27</f>
        <v>0</v>
      </c>
      <c r="P27" s="188"/>
      <c r="Q27" s="153"/>
      <c r="R27" s="142"/>
    </row>
    <row r="28" spans="1:20" x14ac:dyDescent="0.2">
      <c r="A28" s="139" t="s">
        <v>20</v>
      </c>
      <c r="B28" s="10">
        <v>27138333.23</v>
      </c>
      <c r="C28" s="10">
        <f>+B28-26415966.23</f>
        <v>722367</v>
      </c>
      <c r="D28" s="11">
        <v>0</v>
      </c>
      <c r="E28" s="10">
        <v>827988.6</v>
      </c>
      <c r="F28" s="12">
        <f t="shared" ref="F28:F33" si="8">+E28/C28</f>
        <v>1.1462159816270676</v>
      </c>
      <c r="G28" s="10">
        <f t="shared" si="6"/>
        <v>-105621.59999999998</v>
      </c>
      <c r="H28" s="13">
        <v>1247074.73</v>
      </c>
      <c r="I28" s="14">
        <f>171846+1000</f>
        <v>172846</v>
      </c>
      <c r="J28" s="14">
        <f>1307677+16708.93+21550.06+179606.34</f>
        <v>1525542.33</v>
      </c>
      <c r="K28" s="14">
        <f t="shared" ref="K28:K35" si="9">H28+I28-J28</f>
        <v>-105621.60000000009</v>
      </c>
      <c r="L28" s="15">
        <f t="shared" ref="L28:L40" si="10">+F28</f>
        <v>1.1462159816270676</v>
      </c>
      <c r="M28" s="163"/>
      <c r="N28" s="163"/>
      <c r="O28" s="62">
        <f t="shared" si="7"/>
        <v>-1.1641532182693481E-10</v>
      </c>
      <c r="P28" s="184"/>
      <c r="Q28" s="151"/>
    </row>
    <row r="29" spans="1:20" x14ac:dyDescent="0.2">
      <c r="A29" s="139" t="s">
        <v>21</v>
      </c>
      <c r="B29" s="10">
        <v>321506.03999999998</v>
      </c>
      <c r="C29" s="10">
        <f>+B29-280892.37</f>
        <v>40613.669999999984</v>
      </c>
      <c r="D29" s="11">
        <v>0</v>
      </c>
      <c r="E29" s="11">
        <v>40613.67</v>
      </c>
      <c r="F29" s="12">
        <f t="shared" si="8"/>
        <v>1.0000000000000004</v>
      </c>
      <c r="G29" s="109">
        <f t="shared" si="6"/>
        <v>0</v>
      </c>
      <c r="H29" s="13">
        <v>0</v>
      </c>
      <c r="I29" s="14">
        <v>0</v>
      </c>
      <c r="J29" s="14">
        <v>0</v>
      </c>
      <c r="K29" s="14">
        <f t="shared" si="9"/>
        <v>0</v>
      </c>
      <c r="L29" s="15">
        <f t="shared" si="10"/>
        <v>1.0000000000000004</v>
      </c>
      <c r="M29" s="163"/>
      <c r="N29" s="163"/>
      <c r="O29" s="62">
        <f t="shared" si="7"/>
        <v>0</v>
      </c>
      <c r="P29" s="183"/>
    </row>
    <row r="30" spans="1:20" x14ac:dyDescent="0.2">
      <c r="A30" s="139" t="s">
        <v>22</v>
      </c>
      <c r="B30" s="10">
        <v>570803.89</v>
      </c>
      <c r="C30" s="10">
        <f>+B30-491970.23</f>
        <v>78833.660000000033</v>
      </c>
      <c r="D30" s="11">
        <v>0</v>
      </c>
      <c r="E30" s="11">
        <v>78833.66</v>
      </c>
      <c r="F30" s="12">
        <f t="shared" si="8"/>
        <v>0.99999999999999967</v>
      </c>
      <c r="G30" s="109">
        <f t="shared" si="6"/>
        <v>0</v>
      </c>
      <c r="H30" s="13">
        <v>0</v>
      </c>
      <c r="I30" s="14">
        <v>0</v>
      </c>
      <c r="J30" s="14">
        <v>0</v>
      </c>
      <c r="K30" s="14">
        <f t="shared" si="9"/>
        <v>0</v>
      </c>
      <c r="L30" s="15">
        <f t="shared" si="10"/>
        <v>0.99999999999999967</v>
      </c>
      <c r="M30" s="163"/>
      <c r="N30" s="163"/>
      <c r="O30" s="62">
        <f t="shared" si="7"/>
        <v>0</v>
      </c>
      <c r="P30" s="183"/>
    </row>
    <row r="31" spans="1:20" x14ac:dyDescent="0.2">
      <c r="A31" s="139" t="s">
        <v>23</v>
      </c>
      <c r="B31" s="10">
        <v>1307693.44</v>
      </c>
      <c r="C31" s="10">
        <f>+B31-1273287.15</f>
        <v>34406.290000000037</v>
      </c>
      <c r="D31" s="11">
        <v>0</v>
      </c>
      <c r="E31" s="11">
        <v>34406.29</v>
      </c>
      <c r="F31" s="12">
        <f t="shared" si="8"/>
        <v>0.99999999999999889</v>
      </c>
      <c r="G31" s="109">
        <f t="shared" si="6"/>
        <v>0</v>
      </c>
      <c r="H31" s="13">
        <v>0</v>
      </c>
      <c r="I31" s="14">
        <v>0</v>
      </c>
      <c r="J31" s="14">
        <v>0</v>
      </c>
      <c r="K31" s="14">
        <f t="shared" si="9"/>
        <v>0</v>
      </c>
      <c r="L31" s="15">
        <f t="shared" si="10"/>
        <v>0.99999999999999889</v>
      </c>
      <c r="M31" s="163"/>
      <c r="N31" s="163"/>
      <c r="O31" s="62">
        <f t="shared" si="7"/>
        <v>0</v>
      </c>
      <c r="P31" s="183"/>
    </row>
    <row r="32" spans="1:20" x14ac:dyDescent="0.2">
      <c r="A32" s="139" t="s">
        <v>24</v>
      </c>
      <c r="B32" s="10">
        <v>14234360.859999999</v>
      </c>
      <c r="C32" s="10">
        <f>+B32-14197791.76</f>
        <v>36569.099999999627</v>
      </c>
      <c r="D32" s="11">
        <v>0</v>
      </c>
      <c r="E32" s="10">
        <v>208.8</v>
      </c>
      <c r="F32" s="12">
        <f t="shared" si="8"/>
        <v>5.7097385497592813E-3</v>
      </c>
      <c r="G32" s="109">
        <f t="shared" si="6"/>
        <v>36360.299999999625</v>
      </c>
      <c r="H32" s="13">
        <v>-340080.7</v>
      </c>
      <c r="I32" s="14">
        <v>782752</v>
      </c>
      <c r="J32" s="14">
        <f>280823+125488</f>
        <v>406311</v>
      </c>
      <c r="K32" s="14">
        <f t="shared" si="9"/>
        <v>36360.299999999988</v>
      </c>
      <c r="L32" s="15">
        <f t="shared" si="10"/>
        <v>5.7097385497592813E-3</v>
      </c>
      <c r="M32" s="163"/>
      <c r="N32" s="163"/>
      <c r="O32" s="62">
        <f t="shared" si="7"/>
        <v>3.637978807091713E-10</v>
      </c>
      <c r="P32" s="183"/>
      <c r="Q32" s="151"/>
    </row>
    <row r="33" spans="1:20" x14ac:dyDescent="0.2">
      <c r="A33" s="139" t="s">
        <v>25</v>
      </c>
      <c r="B33" s="10">
        <v>658261.61</v>
      </c>
      <c r="C33" s="10">
        <f>+B33-367499.68</f>
        <v>290761.93</v>
      </c>
      <c r="D33" s="11">
        <v>0</v>
      </c>
      <c r="E33" s="10">
        <v>281389.86</v>
      </c>
      <c r="F33" s="12">
        <f t="shared" si="8"/>
        <v>0.96776720391146109</v>
      </c>
      <c r="G33" s="109">
        <f t="shared" si="6"/>
        <v>9372.070000000007</v>
      </c>
      <c r="H33" s="13">
        <v>56340.94</v>
      </c>
      <c r="I33" s="14">
        <v>0</v>
      </c>
      <c r="J33" s="14">
        <v>46968.87</v>
      </c>
      <c r="K33" s="14">
        <f t="shared" si="9"/>
        <v>9372.07</v>
      </c>
      <c r="L33" s="15">
        <f t="shared" si="10"/>
        <v>0.96776720391146109</v>
      </c>
      <c r="M33" s="163"/>
      <c r="N33" s="163"/>
      <c r="O33" s="62">
        <f t="shared" si="7"/>
        <v>0</v>
      </c>
      <c r="P33" s="183"/>
    </row>
    <row r="34" spans="1:20" x14ac:dyDescent="0.2">
      <c r="A34" s="139" t="s">
        <v>53</v>
      </c>
      <c r="B34" s="10">
        <v>158979.12</v>
      </c>
      <c r="C34" s="10">
        <f>+B34</f>
        <v>158979.12</v>
      </c>
      <c r="D34" s="11">
        <v>0</v>
      </c>
      <c r="E34" s="11">
        <v>120000</v>
      </c>
      <c r="F34" s="12">
        <v>0</v>
      </c>
      <c r="G34" s="201">
        <f t="shared" si="6"/>
        <v>38979.119999999995</v>
      </c>
      <c r="H34" s="11">
        <v>43979.12</v>
      </c>
      <c r="I34" s="14">
        <v>0</v>
      </c>
      <c r="J34" s="14">
        <v>5000</v>
      </c>
      <c r="K34" s="14">
        <f t="shared" si="9"/>
        <v>38979.120000000003</v>
      </c>
      <c r="L34" s="15">
        <f t="shared" si="10"/>
        <v>0</v>
      </c>
      <c r="M34" s="163"/>
      <c r="N34" s="163"/>
      <c r="O34" s="62">
        <f t="shared" si="7"/>
        <v>0</v>
      </c>
      <c r="P34" s="183"/>
    </row>
    <row r="35" spans="1:20" x14ac:dyDescent="0.2">
      <c r="A35" s="139" t="s">
        <v>28</v>
      </c>
      <c r="B35" s="10">
        <v>47798.07</v>
      </c>
      <c r="C35" s="10">
        <f>+B35-23516.14</f>
        <v>24281.93</v>
      </c>
      <c r="D35" s="11">
        <v>0</v>
      </c>
      <c r="E35" s="11">
        <v>0</v>
      </c>
      <c r="F35" s="12">
        <v>0</v>
      </c>
      <c r="G35" s="201">
        <f t="shared" si="6"/>
        <v>24281.93</v>
      </c>
      <c r="H35" s="11">
        <v>24281.93</v>
      </c>
      <c r="I35" s="14">
        <v>0</v>
      </c>
      <c r="J35" s="14">
        <v>0</v>
      </c>
      <c r="K35" s="14">
        <f t="shared" si="9"/>
        <v>24281.93</v>
      </c>
      <c r="L35" s="15">
        <f t="shared" si="10"/>
        <v>0</v>
      </c>
      <c r="M35" s="163"/>
      <c r="N35" s="163"/>
      <c r="O35" s="62">
        <f t="shared" si="7"/>
        <v>0</v>
      </c>
      <c r="P35" s="152"/>
    </row>
    <row r="36" spans="1:20" x14ac:dyDescent="0.2">
      <c r="A36" s="139" t="s">
        <v>29</v>
      </c>
      <c r="B36" s="10">
        <v>27972730</v>
      </c>
      <c r="C36" s="10">
        <f>+B36-27809818.06</f>
        <v>162911.94000000134</v>
      </c>
      <c r="D36" s="11">
        <v>186451.15</v>
      </c>
      <c r="E36" s="11">
        <v>0</v>
      </c>
      <c r="F36" s="12">
        <f>+E36/C36</f>
        <v>0</v>
      </c>
      <c r="G36" s="109">
        <f t="shared" si="6"/>
        <v>349363.09000000136</v>
      </c>
      <c r="H36" s="13">
        <v>656033.13</v>
      </c>
      <c r="I36" s="14">
        <f>-1</f>
        <v>-1</v>
      </c>
      <c r="J36" s="14">
        <f>219666.96+67322.53+19679.55</f>
        <v>306669.03999999998</v>
      </c>
      <c r="K36" s="14">
        <f>H36+I36-J36</f>
        <v>349363.09</v>
      </c>
      <c r="L36" s="15">
        <f t="shared" si="10"/>
        <v>0</v>
      </c>
      <c r="M36" s="163"/>
      <c r="N36" s="163"/>
      <c r="O36" s="62">
        <f t="shared" si="7"/>
        <v>-1.3387762010097504E-9</v>
      </c>
      <c r="P36" s="184"/>
    </row>
    <row r="37" spans="1:20" x14ac:dyDescent="0.2">
      <c r="A37" s="139" t="s">
        <v>30</v>
      </c>
      <c r="B37" s="10">
        <v>21170988.52</v>
      </c>
      <c r="C37" s="10">
        <f>+B37-21163370.79</f>
        <v>7617.730000000447</v>
      </c>
      <c r="D37" s="11">
        <v>0</v>
      </c>
      <c r="E37" s="10">
        <v>0</v>
      </c>
      <c r="F37" s="12">
        <f>+E37/C37</f>
        <v>0</v>
      </c>
      <c r="G37" s="109">
        <f t="shared" si="6"/>
        <v>7617.730000000447</v>
      </c>
      <c r="H37" s="13">
        <v>113156.96</v>
      </c>
      <c r="I37" s="14">
        <f>63664.06+25043.71</f>
        <v>88707.76999999999</v>
      </c>
      <c r="J37" s="14">
        <f>170257+6000+17990</f>
        <v>194247</v>
      </c>
      <c r="K37" s="14">
        <f>H37+I37-J37</f>
        <v>7617.7299999999814</v>
      </c>
      <c r="L37" s="15">
        <f t="shared" si="10"/>
        <v>0</v>
      </c>
      <c r="M37" s="163"/>
      <c r="N37" s="163"/>
      <c r="O37" s="107">
        <f t="shared" si="7"/>
        <v>-4.6566128730773926E-10</v>
      </c>
      <c r="P37" s="185"/>
      <c r="S37" s="141"/>
      <c r="T37" s="144"/>
    </row>
    <row r="38" spans="1:20" ht="27" x14ac:dyDescent="0.2">
      <c r="A38" s="139" t="s">
        <v>56</v>
      </c>
      <c r="B38" s="10">
        <v>1500000</v>
      </c>
      <c r="C38" s="10">
        <f>1500000-1499965.2</f>
        <v>34.800000000046566</v>
      </c>
      <c r="D38" s="11">
        <v>0</v>
      </c>
      <c r="E38" s="10">
        <v>0</v>
      </c>
      <c r="F38" s="12">
        <f>+E38/C38</f>
        <v>0</v>
      </c>
      <c r="G38" s="109">
        <f t="shared" si="6"/>
        <v>34.800000000046566</v>
      </c>
      <c r="H38" s="13">
        <v>34.799999999999997</v>
      </c>
      <c r="I38" s="14">
        <v>0</v>
      </c>
      <c r="J38" s="14">
        <v>0</v>
      </c>
      <c r="K38" s="14">
        <f>H38+I38-J38</f>
        <v>34.799999999999997</v>
      </c>
      <c r="L38" s="15">
        <f t="shared" si="10"/>
        <v>0</v>
      </c>
      <c r="M38" s="163"/>
      <c r="N38" s="163"/>
      <c r="O38" s="107">
        <f t="shared" si="7"/>
        <v>-4.6568970901716966E-11</v>
      </c>
      <c r="P38" s="185"/>
      <c r="S38" s="141"/>
      <c r="T38" s="144"/>
    </row>
    <row r="39" spans="1:20" x14ac:dyDescent="0.2">
      <c r="A39" s="139" t="s">
        <v>58</v>
      </c>
      <c r="B39" s="10">
        <v>8800000</v>
      </c>
      <c r="C39" s="10">
        <f>+B39-8793327.97</f>
        <v>6672.0299999993294</v>
      </c>
      <c r="D39" s="11">
        <v>0</v>
      </c>
      <c r="E39" s="10">
        <v>0</v>
      </c>
      <c r="F39" s="12">
        <f>+E39/C39</f>
        <v>0</v>
      </c>
      <c r="G39" s="109">
        <f t="shared" si="6"/>
        <v>6672.0299999993294</v>
      </c>
      <c r="H39" s="13">
        <v>136749.53</v>
      </c>
      <c r="I39" s="14">
        <v>0</v>
      </c>
      <c r="J39" s="14">
        <f>75804.55+37902.27+11370.68+5000</f>
        <v>130077.5</v>
      </c>
      <c r="K39" s="14">
        <f>H39+I39-J39</f>
        <v>6672.0299999999988</v>
      </c>
      <c r="L39" s="15">
        <f t="shared" si="10"/>
        <v>0</v>
      </c>
      <c r="M39" s="163"/>
      <c r="N39" s="163"/>
      <c r="O39" s="107">
        <f t="shared" si="7"/>
        <v>6.6938810050487518E-10</v>
      </c>
      <c r="P39" s="185"/>
      <c r="S39" s="141"/>
      <c r="T39" s="144"/>
    </row>
    <row r="40" spans="1:20" x14ac:dyDescent="0.2">
      <c r="A40" s="139" t="s">
        <v>57</v>
      </c>
      <c r="B40" s="10">
        <v>3362600</v>
      </c>
      <c r="C40" s="10">
        <f>+B40-3361389.36</f>
        <v>1210.6400000001304</v>
      </c>
      <c r="D40" s="11">
        <v>0</v>
      </c>
      <c r="E40" s="10">
        <v>0</v>
      </c>
      <c r="F40" s="12">
        <f>+E40/C40</f>
        <v>0</v>
      </c>
      <c r="G40" s="109">
        <f t="shared" si="6"/>
        <v>1210.6400000001304</v>
      </c>
      <c r="H40" s="13">
        <v>54023.49</v>
      </c>
      <c r="I40" s="14">
        <v>0</v>
      </c>
      <c r="J40" s="14">
        <f>28977.48+14488.74+4346.63+5000</f>
        <v>52812.85</v>
      </c>
      <c r="K40" s="14">
        <f>H40+I40-J40</f>
        <v>1210.6399999999994</v>
      </c>
      <c r="L40" s="15">
        <f t="shared" si="10"/>
        <v>0</v>
      </c>
      <c r="M40" s="163"/>
      <c r="N40" s="163"/>
      <c r="O40" s="107">
        <f t="shared" si="7"/>
        <v>-1.3096723705530167E-10</v>
      </c>
      <c r="P40" s="185"/>
      <c r="S40" s="141"/>
      <c r="T40" s="144"/>
    </row>
    <row r="41" spans="1:20" s="5" customFormat="1" x14ac:dyDescent="0.2">
      <c r="A41" s="20" t="s">
        <v>51</v>
      </c>
      <c r="B41" s="21">
        <f t="shared" ref="B41:K41" si="11">SUM(B27:B37)</f>
        <v>103250242.27999999</v>
      </c>
      <c r="C41" s="21">
        <f t="shared" si="11"/>
        <v>2417137.7600000021</v>
      </c>
      <c r="D41" s="21">
        <f t="shared" si="11"/>
        <v>186451.15</v>
      </c>
      <c r="E41" s="21">
        <f t="shared" si="11"/>
        <v>1509643.1</v>
      </c>
      <c r="F41" s="21">
        <f t="shared" si="11"/>
        <v>5.2664746136249105</v>
      </c>
      <c r="G41" s="21">
        <f t="shared" si="11"/>
        <v>1093945.8100000019</v>
      </c>
      <c r="H41" s="21">
        <f t="shared" si="11"/>
        <v>2561122.5499999998</v>
      </c>
      <c r="I41" s="21">
        <f t="shared" si="11"/>
        <v>1156509.79</v>
      </c>
      <c r="J41" s="21">
        <f t="shared" si="11"/>
        <v>2623686.5300000003</v>
      </c>
      <c r="K41" s="21">
        <f t="shared" si="11"/>
        <v>1093945.8099999998</v>
      </c>
      <c r="L41" s="23"/>
      <c r="M41" s="164"/>
      <c r="N41" s="164"/>
      <c r="O41" s="61"/>
      <c r="P41" s="203"/>
      <c r="Q41" s="143"/>
      <c r="R41" s="143"/>
    </row>
    <row r="42" spans="1:20" s="17" customFormat="1" x14ac:dyDescent="0.25">
      <c r="A42" s="139" t="s">
        <v>18</v>
      </c>
      <c r="B42" s="10">
        <f>+C42</f>
        <v>557287.6400000006</v>
      </c>
      <c r="C42" s="10">
        <f>9497181.34-8522902.7-416991</f>
        <v>557287.6400000006</v>
      </c>
      <c r="D42" s="11">
        <v>0</v>
      </c>
      <c r="E42" s="10">
        <v>2038.23</v>
      </c>
      <c r="F42" s="12">
        <f>+E42/C42</f>
        <v>3.657411099230548E-3</v>
      </c>
      <c r="G42" s="10">
        <f>+C42+D42-E42</f>
        <v>555249.41000000061</v>
      </c>
      <c r="H42" s="13">
        <f>362224.72-0.47</f>
        <v>362224.25</v>
      </c>
      <c r="I42" s="14">
        <f>22013.2+172259.48</f>
        <v>194272.68000000002</v>
      </c>
      <c r="J42" s="14">
        <f>-4302.52+5550.04</f>
        <v>1247.5199999999995</v>
      </c>
      <c r="K42" s="14">
        <f>H42+I42-J42</f>
        <v>555249.41</v>
      </c>
      <c r="L42" s="15">
        <f>+F42</f>
        <v>3.657411099230548E-3</v>
      </c>
      <c r="M42" s="163"/>
      <c r="N42" s="163"/>
      <c r="O42" s="155">
        <f t="shared" ref="O42:O51" si="12">+K42-G42</f>
        <v>0</v>
      </c>
      <c r="P42" s="202"/>
      <c r="Q42" s="142"/>
      <c r="R42" s="142"/>
    </row>
    <row r="43" spans="1:20" x14ac:dyDescent="0.2">
      <c r="A43" s="139" t="s">
        <v>20</v>
      </c>
      <c r="B43" s="10">
        <v>0</v>
      </c>
      <c r="C43" s="10">
        <f>981063.54-174602.54</f>
        <v>806461</v>
      </c>
      <c r="D43" s="11">
        <v>0</v>
      </c>
      <c r="E43" s="10">
        <v>0</v>
      </c>
      <c r="F43" s="12">
        <f t="shared" ref="F43:F52" si="13">+E43/C43</f>
        <v>0</v>
      </c>
      <c r="G43" s="10">
        <f>+C43+D43-E43</f>
        <v>806461</v>
      </c>
      <c r="H43" s="13">
        <v>1795340.56</v>
      </c>
      <c r="I43" s="14">
        <v>1162</v>
      </c>
      <c r="J43" s="14">
        <f>272555.03+160187.53+557299</f>
        <v>990041.56</v>
      </c>
      <c r="K43" s="14">
        <f t="shared" ref="K43:K68" si="14">H43+I43-J43</f>
        <v>806461</v>
      </c>
      <c r="L43" s="15">
        <f t="shared" ref="L43:L52" si="15">+F43</f>
        <v>0</v>
      </c>
      <c r="M43" s="163"/>
      <c r="N43" s="163"/>
      <c r="O43" s="62">
        <f>+K43-G43</f>
        <v>0</v>
      </c>
      <c r="P43" s="205"/>
    </row>
    <row r="44" spans="1:20" x14ac:dyDescent="0.2">
      <c r="A44" s="139" t="s">
        <v>21</v>
      </c>
      <c r="B44" s="10">
        <f t="shared" ref="B44:B52" si="16">+C44</f>
        <v>465.82999999998719</v>
      </c>
      <c r="C44" s="10">
        <f>266576.99-80893-185218.16</f>
        <v>465.82999999998719</v>
      </c>
      <c r="D44" s="11">
        <v>0</v>
      </c>
      <c r="E44" s="10">
        <v>0</v>
      </c>
      <c r="F44" s="12">
        <f t="shared" si="13"/>
        <v>0</v>
      </c>
      <c r="G44" s="10">
        <f>+C44+D44-E44</f>
        <v>465.82999999998719</v>
      </c>
      <c r="H44" s="13">
        <v>465.83</v>
      </c>
      <c r="I44" s="14">
        <v>0</v>
      </c>
      <c r="J44" s="14">
        <v>0</v>
      </c>
      <c r="K44" s="14">
        <f t="shared" si="14"/>
        <v>465.83</v>
      </c>
      <c r="L44" s="15">
        <f t="shared" si="15"/>
        <v>0</v>
      </c>
      <c r="M44" s="163"/>
      <c r="N44" s="163"/>
      <c r="O44" s="155">
        <f t="shared" si="12"/>
        <v>1.2789769243681803E-11</v>
      </c>
      <c r="P44" s="183"/>
    </row>
    <row r="45" spans="1:20" x14ac:dyDescent="0.2">
      <c r="A45" s="139" t="s">
        <v>22</v>
      </c>
      <c r="B45" s="10">
        <f t="shared" si="16"/>
        <v>6067.4599999999627</v>
      </c>
      <c r="C45" s="10">
        <f>375412.66-201977-167368.2</f>
        <v>6067.4599999999627</v>
      </c>
      <c r="D45" s="10">
        <v>149.51</v>
      </c>
      <c r="E45" s="10">
        <v>0</v>
      </c>
      <c r="F45" s="12">
        <f t="shared" si="13"/>
        <v>0</v>
      </c>
      <c r="G45" s="10">
        <f t="shared" ref="G45:G50" si="17">+C45+D45-E45</f>
        <v>6216.969999999963</v>
      </c>
      <c r="H45" s="13">
        <v>6216.97</v>
      </c>
      <c r="I45" s="14">
        <v>0</v>
      </c>
      <c r="J45" s="14">
        <v>0</v>
      </c>
      <c r="K45" s="14">
        <f t="shared" si="14"/>
        <v>6216.97</v>
      </c>
      <c r="L45" s="15">
        <f t="shared" si="15"/>
        <v>0</v>
      </c>
      <c r="M45" s="163"/>
      <c r="N45" s="163"/>
      <c r="O45" s="62">
        <f t="shared" si="12"/>
        <v>3.7289282772690058E-11</v>
      </c>
      <c r="P45" s="183"/>
    </row>
    <row r="46" spans="1:20" x14ac:dyDescent="0.2">
      <c r="A46" s="139" t="s">
        <v>23</v>
      </c>
      <c r="B46" s="10">
        <f t="shared" si="16"/>
        <v>17016.04999999993</v>
      </c>
      <c r="C46" s="10">
        <f>1302246.39-788192.61-497037.73</f>
        <v>17016.04999999993</v>
      </c>
      <c r="D46" s="10">
        <v>408.58</v>
      </c>
      <c r="E46" s="10">
        <v>0</v>
      </c>
      <c r="F46" s="12">
        <f t="shared" si="13"/>
        <v>0</v>
      </c>
      <c r="G46" s="10">
        <f t="shared" si="17"/>
        <v>17424.629999999932</v>
      </c>
      <c r="H46" s="13">
        <v>17424.63</v>
      </c>
      <c r="I46" s="14">
        <v>0</v>
      </c>
      <c r="J46" s="14">
        <v>0</v>
      </c>
      <c r="K46" s="14">
        <f t="shared" si="14"/>
        <v>17424.63</v>
      </c>
      <c r="L46" s="15">
        <f t="shared" si="15"/>
        <v>0</v>
      </c>
      <c r="M46" s="163"/>
      <c r="N46" s="163"/>
      <c r="O46" s="155">
        <f t="shared" si="12"/>
        <v>6.9121597334742546E-11</v>
      </c>
      <c r="P46" s="183"/>
    </row>
    <row r="47" spans="1:20" x14ac:dyDescent="0.2">
      <c r="A47" s="139" t="s">
        <v>24</v>
      </c>
      <c r="B47" s="10">
        <f t="shared" si="16"/>
        <v>412246.5499999997</v>
      </c>
      <c r="C47" s="10">
        <f>13636634.35-13212786.17-11601.63</f>
        <v>412246.5499999997</v>
      </c>
      <c r="D47" s="11">
        <v>-459</v>
      </c>
      <c r="E47" s="10">
        <v>0</v>
      </c>
      <c r="F47" s="12">
        <f t="shared" si="13"/>
        <v>0</v>
      </c>
      <c r="G47" s="10">
        <f>+C47+D47-E47</f>
        <v>411787.5499999997</v>
      </c>
      <c r="H47" s="13">
        <v>37530.339999999997</v>
      </c>
      <c r="I47" s="14">
        <v>456237</v>
      </c>
      <c r="J47" s="14">
        <f>52394.42+7312.79+22272.58</f>
        <v>81979.790000000008</v>
      </c>
      <c r="K47" s="14">
        <f t="shared" si="14"/>
        <v>411787.54999999993</v>
      </c>
      <c r="L47" s="15">
        <f t="shared" si="15"/>
        <v>0</v>
      </c>
      <c r="M47" s="163"/>
      <c r="N47" s="163"/>
      <c r="O47" s="62">
        <f t="shared" si="12"/>
        <v>0</v>
      </c>
      <c r="P47" s="183"/>
    </row>
    <row r="48" spans="1:20" x14ac:dyDescent="0.2">
      <c r="A48" s="139" t="s">
        <v>25</v>
      </c>
      <c r="B48" s="10">
        <f t="shared" si="16"/>
        <v>5151.3900000000722</v>
      </c>
      <c r="C48" s="10">
        <f>868753.03-542712.97-320888.67</f>
        <v>5151.3900000000722</v>
      </c>
      <c r="D48" s="10">
        <v>131.31</v>
      </c>
      <c r="E48" s="10">
        <v>0</v>
      </c>
      <c r="F48" s="12">
        <f t="shared" si="13"/>
        <v>0</v>
      </c>
      <c r="G48" s="10">
        <f t="shared" si="17"/>
        <v>5282.7000000000726</v>
      </c>
      <c r="H48" s="13">
        <v>5282.7</v>
      </c>
      <c r="I48" s="14">
        <v>0</v>
      </c>
      <c r="J48" s="14">
        <v>0</v>
      </c>
      <c r="K48" s="14">
        <f t="shared" si="14"/>
        <v>5282.7</v>
      </c>
      <c r="L48" s="15">
        <f t="shared" si="15"/>
        <v>0</v>
      </c>
      <c r="M48" s="163"/>
      <c r="N48" s="163"/>
      <c r="O48" s="155">
        <f t="shared" si="12"/>
        <v>-7.2759576141834259E-11</v>
      </c>
      <c r="P48" s="183"/>
    </row>
    <row r="49" spans="1:18" x14ac:dyDescent="0.2">
      <c r="A49" s="139" t="s">
        <v>27</v>
      </c>
      <c r="B49" s="10">
        <f t="shared" si="16"/>
        <v>3767.3699999999953</v>
      </c>
      <c r="C49" s="10">
        <f>573447.69-569680.32</f>
        <v>3767.3699999999953</v>
      </c>
      <c r="D49" s="11">
        <v>0</v>
      </c>
      <c r="E49" s="10">
        <v>0</v>
      </c>
      <c r="F49" s="12">
        <f t="shared" si="13"/>
        <v>0</v>
      </c>
      <c r="G49" s="10">
        <f t="shared" si="17"/>
        <v>3767.3699999999953</v>
      </c>
      <c r="H49" s="13">
        <v>3767.37</v>
      </c>
      <c r="I49" s="14">
        <v>0</v>
      </c>
      <c r="J49" s="14">
        <v>0</v>
      </c>
      <c r="K49" s="14">
        <f t="shared" si="14"/>
        <v>3767.37</v>
      </c>
      <c r="L49" s="15">
        <f t="shared" si="15"/>
        <v>0</v>
      </c>
      <c r="M49" s="163"/>
      <c r="N49" s="163"/>
      <c r="O49" s="62">
        <f t="shared" si="12"/>
        <v>4.5474735088646412E-12</v>
      </c>
      <c r="P49" s="183"/>
    </row>
    <row r="50" spans="1:18" x14ac:dyDescent="0.2">
      <c r="A50" s="139" t="s">
        <v>28</v>
      </c>
      <c r="B50" s="10">
        <f t="shared" si="16"/>
        <v>542.31999999999971</v>
      </c>
      <c r="C50" s="10">
        <f>36484.65-0-35942.33</f>
        <v>542.31999999999971</v>
      </c>
      <c r="D50" s="11">
        <v>0</v>
      </c>
      <c r="E50" s="10">
        <v>0</v>
      </c>
      <c r="F50" s="12">
        <f t="shared" si="13"/>
        <v>0</v>
      </c>
      <c r="G50" s="10">
        <f t="shared" si="17"/>
        <v>542.31999999999971</v>
      </c>
      <c r="H50" s="13">
        <v>542.32000000000005</v>
      </c>
      <c r="I50" s="14">
        <v>0</v>
      </c>
      <c r="J50" s="14">
        <v>0</v>
      </c>
      <c r="K50" s="14">
        <f t="shared" si="14"/>
        <v>542.32000000000005</v>
      </c>
      <c r="L50" s="15">
        <f t="shared" si="15"/>
        <v>0</v>
      </c>
      <c r="M50" s="163"/>
      <c r="N50" s="163"/>
      <c r="O50" s="155">
        <f t="shared" si="12"/>
        <v>0</v>
      </c>
      <c r="P50" s="183"/>
    </row>
    <row r="51" spans="1:18" x14ac:dyDescent="0.2">
      <c r="A51" s="139" t="s">
        <v>29</v>
      </c>
      <c r="B51" s="10">
        <f>+C51</f>
        <v>489577.01999999862</v>
      </c>
      <c r="C51" s="10">
        <f>25804148.7-21535015.98-3779555.7</f>
        <v>489577.01999999862</v>
      </c>
      <c r="D51" s="45"/>
      <c r="E51" s="10">
        <v>0</v>
      </c>
      <c r="F51" s="12">
        <f t="shared" si="13"/>
        <v>0</v>
      </c>
      <c r="G51" s="10">
        <f>+C51+D51-E51</f>
        <v>489577.01999999862</v>
      </c>
      <c r="H51" s="13">
        <f>2255525.44-1688966.46</f>
        <v>566558.98</v>
      </c>
      <c r="I51" s="14">
        <v>122706.07</v>
      </c>
      <c r="J51" s="14">
        <f>20016.25+99956.62+61086.68+18628.48</f>
        <v>199688.03</v>
      </c>
      <c r="K51" s="14">
        <f>H51+I51-J51</f>
        <v>489577.02</v>
      </c>
      <c r="L51" s="15">
        <f t="shared" si="15"/>
        <v>0</v>
      </c>
      <c r="M51" s="163"/>
      <c r="N51" s="163"/>
      <c r="O51" s="62">
        <f t="shared" si="12"/>
        <v>1.3969838619232178E-9</v>
      </c>
      <c r="P51" s="184"/>
    </row>
    <row r="52" spans="1:18" x14ac:dyDescent="0.2">
      <c r="A52" s="139" t="s">
        <v>30</v>
      </c>
      <c r="B52" s="10">
        <f t="shared" si="16"/>
        <v>193749.02000000025</v>
      </c>
      <c r="C52" s="10">
        <f>19272341-17976826.68-1101765.3</f>
        <v>193749.02000000025</v>
      </c>
      <c r="D52" s="10">
        <v>4227.0200000000004</v>
      </c>
      <c r="E52" s="10">
        <v>0</v>
      </c>
      <c r="F52" s="12">
        <f t="shared" si="13"/>
        <v>0</v>
      </c>
      <c r="G52" s="10">
        <f>+C52+D52-E52</f>
        <v>197976.04000000024</v>
      </c>
      <c r="H52" s="13">
        <v>171700.75</v>
      </c>
      <c r="I52" s="14">
        <v>296402</v>
      </c>
      <c r="J52" s="14">
        <f>26299+244312.48</f>
        <v>270611.48</v>
      </c>
      <c r="K52" s="14">
        <f>H52+I52-J52</f>
        <v>197491.27000000002</v>
      </c>
      <c r="L52" s="15">
        <f t="shared" si="15"/>
        <v>0</v>
      </c>
      <c r="M52" s="163"/>
      <c r="N52" s="163"/>
      <c r="O52" s="155">
        <f>+K52-G52</f>
        <v>-484.77000000022235</v>
      </c>
      <c r="P52" s="185"/>
    </row>
    <row r="53" spans="1:18" s="5" customFormat="1" x14ac:dyDescent="0.2">
      <c r="A53" s="20" t="s">
        <v>33</v>
      </c>
      <c r="B53" s="21">
        <f>SUM(B42:B52)</f>
        <v>1685870.649999999</v>
      </c>
      <c r="C53" s="21">
        <f>SUM(C42:C52)</f>
        <v>2492331.6499999994</v>
      </c>
      <c r="D53" s="21">
        <f>SUM(D42:D52)</f>
        <v>4457.42</v>
      </c>
      <c r="E53" s="21">
        <f>SUM(E42:E52)</f>
        <v>2038.23</v>
      </c>
      <c r="F53" s="22">
        <f>+E53/C53</f>
        <v>8.178004721000917E-4</v>
      </c>
      <c r="G53" s="21">
        <f>SUM(G42:G52)</f>
        <v>2494750.8399999989</v>
      </c>
      <c r="H53" s="21">
        <f>SUM(H42:H52)</f>
        <v>2967054.7</v>
      </c>
      <c r="I53" s="21">
        <f>SUM(I42:I52)</f>
        <v>1070779.75</v>
      </c>
      <c r="J53" s="21">
        <f>SUM(J42:J52)</f>
        <v>1543568.3800000001</v>
      </c>
      <c r="K53" s="21">
        <f>SUM(K42:K52)</f>
        <v>2494266.0700000003</v>
      </c>
      <c r="L53" s="23"/>
      <c r="M53" s="164"/>
      <c r="N53" s="164"/>
      <c r="O53" s="62">
        <f t="shared" ref="O53:O69" si="18">+K53-G53</f>
        <v>-484.76999999862164</v>
      </c>
      <c r="P53" s="204"/>
      <c r="Q53" s="143"/>
      <c r="R53" s="143"/>
    </row>
    <row r="54" spans="1:18" x14ac:dyDescent="0.2">
      <c r="A54" s="139" t="s">
        <v>34</v>
      </c>
      <c r="B54" s="10">
        <v>0</v>
      </c>
      <c r="C54" s="10">
        <v>256006.06</v>
      </c>
      <c r="D54" s="13">
        <v>440.75</v>
      </c>
      <c r="E54" s="10">
        <v>0</v>
      </c>
      <c r="F54" s="12">
        <v>0</v>
      </c>
      <c r="G54" s="10">
        <f>+C54+D54-E54</f>
        <v>256446.81</v>
      </c>
      <c r="H54" s="10">
        <v>238695.02</v>
      </c>
      <c r="I54" s="10">
        <v>30099.8</v>
      </c>
      <c r="J54" s="10">
        <v>12348.01</v>
      </c>
      <c r="K54" s="10">
        <f t="shared" si="14"/>
        <v>256446.81</v>
      </c>
      <c r="L54" s="15"/>
      <c r="M54" s="163"/>
      <c r="N54" s="163"/>
      <c r="O54" s="62">
        <f t="shared" si="18"/>
        <v>0</v>
      </c>
      <c r="P54" s="183"/>
    </row>
    <row r="55" spans="1:18" x14ac:dyDescent="0.2">
      <c r="A55" s="20" t="s">
        <v>35</v>
      </c>
      <c r="B55" s="25">
        <f t="shared" ref="B55:K55" si="19">SUM(B54:B54)</f>
        <v>0</v>
      </c>
      <c r="C55" s="25">
        <f t="shared" si="19"/>
        <v>256006.06</v>
      </c>
      <c r="D55" s="25">
        <f t="shared" si="19"/>
        <v>440.75</v>
      </c>
      <c r="E55" s="25">
        <f t="shared" si="19"/>
        <v>0</v>
      </c>
      <c r="F55" s="25">
        <f t="shared" si="19"/>
        <v>0</v>
      </c>
      <c r="G55" s="25">
        <f t="shared" si="19"/>
        <v>256446.81</v>
      </c>
      <c r="H55" s="25">
        <f t="shared" si="19"/>
        <v>238695.02</v>
      </c>
      <c r="I55" s="25">
        <f t="shared" si="19"/>
        <v>30099.8</v>
      </c>
      <c r="J55" s="25">
        <f t="shared" si="19"/>
        <v>12348.01</v>
      </c>
      <c r="K55" s="25">
        <f t="shared" si="19"/>
        <v>256446.81</v>
      </c>
      <c r="L55" s="27"/>
      <c r="M55" s="163"/>
      <c r="N55" s="163"/>
      <c r="O55" s="62">
        <f t="shared" si="18"/>
        <v>0</v>
      </c>
      <c r="P55" s="183"/>
    </row>
    <row r="56" spans="1:18" x14ac:dyDescent="0.2">
      <c r="A56" s="139" t="s">
        <v>18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0.47</v>
      </c>
      <c r="H56" s="10">
        <v>0.47</v>
      </c>
      <c r="I56" s="10">
        <v>0</v>
      </c>
      <c r="J56" s="10">
        <v>0</v>
      </c>
      <c r="K56" s="10">
        <f t="shared" si="14"/>
        <v>0.47</v>
      </c>
      <c r="L56" s="15"/>
      <c r="M56" s="163"/>
      <c r="N56" s="163"/>
      <c r="O56" s="62">
        <f t="shared" si="18"/>
        <v>0</v>
      </c>
      <c r="P56" s="183"/>
    </row>
    <row r="57" spans="1:18" x14ac:dyDescent="0.2">
      <c r="A57" s="139" t="s">
        <v>29</v>
      </c>
      <c r="B57" s="10">
        <v>0</v>
      </c>
      <c r="C57" s="10">
        <v>0</v>
      </c>
      <c r="D57" s="10">
        <v>0</v>
      </c>
      <c r="E57" s="10">
        <v>0</v>
      </c>
      <c r="F57" s="12">
        <v>0</v>
      </c>
      <c r="G57" s="10">
        <v>17.399999999999999</v>
      </c>
      <c r="H57" s="10">
        <v>17.399999999999999</v>
      </c>
      <c r="I57" s="10"/>
      <c r="J57" s="10">
        <v>0</v>
      </c>
      <c r="K57" s="10">
        <f t="shared" si="14"/>
        <v>17.399999999999999</v>
      </c>
      <c r="L57" s="15"/>
      <c r="M57" s="163"/>
      <c r="N57" s="163"/>
      <c r="O57" s="62">
        <f t="shared" si="18"/>
        <v>0</v>
      </c>
      <c r="P57" s="183"/>
    </row>
    <row r="58" spans="1:18" x14ac:dyDescent="0.2">
      <c r="A58" s="20" t="s">
        <v>37</v>
      </c>
      <c r="B58" s="25">
        <f t="shared" ref="B58:K58" si="20">SUM(B56:B57)</f>
        <v>0</v>
      </c>
      <c r="C58" s="25">
        <f t="shared" si="20"/>
        <v>0</v>
      </c>
      <c r="D58" s="25">
        <f t="shared" si="20"/>
        <v>0</v>
      </c>
      <c r="E58" s="25">
        <f t="shared" si="20"/>
        <v>0</v>
      </c>
      <c r="F58" s="25">
        <f t="shared" si="20"/>
        <v>0</v>
      </c>
      <c r="G58" s="25">
        <f t="shared" si="20"/>
        <v>17.869999999999997</v>
      </c>
      <c r="H58" s="25">
        <f t="shared" si="20"/>
        <v>17.869999999999997</v>
      </c>
      <c r="I58" s="25">
        <f t="shared" si="20"/>
        <v>0</v>
      </c>
      <c r="J58" s="25">
        <f t="shared" si="20"/>
        <v>0</v>
      </c>
      <c r="K58" s="25">
        <f t="shared" si="20"/>
        <v>17.869999999999997</v>
      </c>
      <c r="L58" s="27"/>
      <c r="M58" s="163"/>
      <c r="N58" s="163"/>
      <c r="O58" s="62">
        <f>+K58-G58</f>
        <v>0</v>
      </c>
      <c r="P58" s="183"/>
    </row>
    <row r="59" spans="1:18" x14ac:dyDescent="0.2">
      <c r="A59" s="139" t="s">
        <v>18</v>
      </c>
      <c r="B59" s="10">
        <v>0</v>
      </c>
      <c r="C59" s="10">
        <v>0</v>
      </c>
      <c r="D59" s="10"/>
      <c r="E59" s="10">
        <v>0</v>
      </c>
      <c r="F59" s="12">
        <v>0</v>
      </c>
      <c r="G59" s="10">
        <v>1392</v>
      </c>
      <c r="H59" s="10">
        <v>1392</v>
      </c>
      <c r="I59" s="10">
        <v>0</v>
      </c>
      <c r="J59" s="10">
        <v>0</v>
      </c>
      <c r="K59" s="10">
        <f t="shared" si="14"/>
        <v>1392</v>
      </c>
      <c r="L59" s="15"/>
      <c r="M59" s="163"/>
      <c r="N59" s="163"/>
      <c r="O59" s="62">
        <f t="shared" si="18"/>
        <v>0</v>
      </c>
      <c r="P59" s="183"/>
    </row>
    <row r="60" spans="1:18" x14ac:dyDescent="0.2">
      <c r="A60" s="139" t="s">
        <v>20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382.8</v>
      </c>
      <c r="H60" s="10">
        <v>382.8</v>
      </c>
      <c r="I60" s="10">
        <v>0</v>
      </c>
      <c r="J60" s="10">
        <v>0</v>
      </c>
      <c r="K60" s="10">
        <f t="shared" si="14"/>
        <v>382.8</v>
      </c>
      <c r="L60" s="15"/>
      <c r="M60" s="163"/>
      <c r="N60" s="163"/>
      <c r="O60" s="62">
        <f t="shared" si="18"/>
        <v>0</v>
      </c>
      <c r="P60" s="183"/>
    </row>
    <row r="61" spans="1:18" x14ac:dyDescent="0.2">
      <c r="A61" s="139" t="s">
        <v>29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242057.67</v>
      </c>
      <c r="H61" s="10">
        <v>242057.67</v>
      </c>
      <c r="I61" s="10">
        <v>0</v>
      </c>
      <c r="J61" s="10">
        <v>0</v>
      </c>
      <c r="K61" s="10">
        <f t="shared" si="14"/>
        <v>242057.67</v>
      </c>
      <c r="L61" s="15"/>
      <c r="M61" s="163"/>
      <c r="N61" s="163"/>
      <c r="O61" s="62">
        <f t="shared" si="18"/>
        <v>0</v>
      </c>
      <c r="P61" s="183"/>
    </row>
    <row r="62" spans="1:18" x14ac:dyDescent="0.2">
      <c r="A62" s="20" t="s">
        <v>38</v>
      </c>
      <c r="B62" s="25">
        <f t="shared" ref="B62:K62" si="21">SUM(B59:B61)</f>
        <v>0</v>
      </c>
      <c r="C62" s="25">
        <f t="shared" si="21"/>
        <v>0</v>
      </c>
      <c r="D62" s="25">
        <f t="shared" si="21"/>
        <v>0</v>
      </c>
      <c r="E62" s="25">
        <f t="shared" si="21"/>
        <v>0</v>
      </c>
      <c r="F62" s="25">
        <f t="shared" si="21"/>
        <v>0</v>
      </c>
      <c r="G62" s="25">
        <f t="shared" si="21"/>
        <v>243832.47</v>
      </c>
      <c r="H62" s="25">
        <f t="shared" si="21"/>
        <v>243832.47</v>
      </c>
      <c r="I62" s="25">
        <f t="shared" si="21"/>
        <v>0</v>
      </c>
      <c r="J62" s="25">
        <f t="shared" si="21"/>
        <v>0</v>
      </c>
      <c r="K62" s="25">
        <f t="shared" si="21"/>
        <v>243832.47</v>
      </c>
      <c r="L62" s="27"/>
      <c r="M62" s="163"/>
      <c r="N62" s="163"/>
      <c r="O62" s="62">
        <f t="shared" si="18"/>
        <v>0</v>
      </c>
      <c r="P62" s="183"/>
    </row>
    <row r="63" spans="1:18" x14ac:dyDescent="0.2">
      <c r="A63" s="139" t="s">
        <v>36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-10</v>
      </c>
      <c r="H63" s="10">
        <v>-10</v>
      </c>
      <c r="I63" s="10">
        <v>0</v>
      </c>
      <c r="J63" s="10">
        <v>0</v>
      </c>
      <c r="K63" s="10">
        <f t="shared" si="14"/>
        <v>-10</v>
      </c>
      <c r="L63" s="15"/>
      <c r="M63" s="163"/>
      <c r="N63" s="163"/>
      <c r="O63" s="62">
        <f t="shared" si="18"/>
        <v>0</v>
      </c>
      <c r="P63" s="183"/>
    </row>
    <row r="64" spans="1:18" x14ac:dyDescent="0.2">
      <c r="A64" s="139" t="s">
        <v>20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219.47</v>
      </c>
      <c r="H64" s="10">
        <v>219.47</v>
      </c>
      <c r="I64" s="10">
        <v>0</v>
      </c>
      <c r="J64" s="10">
        <v>0</v>
      </c>
      <c r="K64" s="10">
        <f t="shared" si="14"/>
        <v>219.47</v>
      </c>
      <c r="L64" s="15"/>
      <c r="M64" s="163"/>
      <c r="N64" s="163"/>
      <c r="O64" s="62">
        <f t="shared" si="18"/>
        <v>0</v>
      </c>
      <c r="P64" s="183"/>
    </row>
    <row r="65" spans="1:16" x14ac:dyDescent="0.2">
      <c r="A65" s="139" t="s">
        <v>24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1150.8900000000001</v>
      </c>
      <c r="H65" s="10">
        <v>42631.81</v>
      </c>
      <c r="I65" s="10">
        <v>412765.08</v>
      </c>
      <c r="J65" s="10">
        <v>454246</v>
      </c>
      <c r="K65" s="10">
        <f t="shared" si="14"/>
        <v>1150.890000000014</v>
      </c>
      <c r="L65" s="15"/>
      <c r="M65" s="163"/>
      <c r="N65" s="163"/>
      <c r="O65" s="62">
        <f t="shared" si="18"/>
        <v>1.3869794202037156E-11</v>
      </c>
      <c r="P65" s="183"/>
    </row>
    <row r="66" spans="1:16" x14ac:dyDescent="0.2">
      <c r="A66" s="139" t="s">
        <v>25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719.87</v>
      </c>
      <c r="H66" s="10">
        <v>719.87</v>
      </c>
      <c r="I66" s="10">
        <v>0</v>
      </c>
      <c r="J66" s="10">
        <v>0</v>
      </c>
      <c r="K66" s="10">
        <f t="shared" si="14"/>
        <v>719.87</v>
      </c>
      <c r="L66" s="15"/>
      <c r="M66" s="163"/>
      <c r="N66" s="163"/>
      <c r="O66" s="62">
        <f t="shared" si="18"/>
        <v>0</v>
      </c>
      <c r="P66" s="183"/>
    </row>
    <row r="67" spans="1:16" x14ac:dyDescent="0.2">
      <c r="A67" s="139" t="s">
        <v>27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267528.84000000003</v>
      </c>
      <c r="H67" s="10">
        <v>0</v>
      </c>
      <c r="I67" s="10">
        <v>267528.84000000003</v>
      </c>
      <c r="J67" s="10">
        <v>0</v>
      </c>
      <c r="K67" s="10">
        <f t="shared" si="14"/>
        <v>267528.84000000003</v>
      </c>
      <c r="L67" s="15"/>
      <c r="M67" s="163"/>
      <c r="N67" s="163"/>
      <c r="O67" s="62">
        <f t="shared" si="18"/>
        <v>0</v>
      </c>
      <c r="P67" s="183"/>
    </row>
    <row r="68" spans="1:16" x14ac:dyDescent="0.2">
      <c r="A68" s="139" t="s">
        <v>29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236767.4</v>
      </c>
      <c r="H68" s="10">
        <v>243581.68</v>
      </c>
      <c r="I68" s="10">
        <v>0</v>
      </c>
      <c r="J68" s="10">
        <f>2827.74+3986.54</f>
        <v>6814.28</v>
      </c>
      <c r="K68" s="10">
        <f t="shared" si="14"/>
        <v>236767.4</v>
      </c>
      <c r="L68" s="15"/>
      <c r="M68" s="163"/>
      <c r="N68" s="163"/>
      <c r="O68" s="62">
        <f t="shared" si="18"/>
        <v>0</v>
      </c>
      <c r="P68" s="183"/>
    </row>
    <row r="69" spans="1:16" x14ac:dyDescent="0.2">
      <c r="A69" s="20" t="s">
        <v>39</v>
      </c>
      <c r="B69" s="25">
        <f t="shared" ref="B69:K69" si="22">SUM(B63:B68)</f>
        <v>0</v>
      </c>
      <c r="C69" s="25">
        <f t="shared" si="22"/>
        <v>0</v>
      </c>
      <c r="D69" s="25">
        <f t="shared" si="22"/>
        <v>0</v>
      </c>
      <c r="E69" s="25">
        <f t="shared" si="22"/>
        <v>0</v>
      </c>
      <c r="F69" s="25">
        <f t="shared" si="22"/>
        <v>0</v>
      </c>
      <c r="G69" s="25">
        <f t="shared" si="22"/>
        <v>506376.47</v>
      </c>
      <c r="H69" s="25">
        <f t="shared" si="22"/>
        <v>287142.83</v>
      </c>
      <c r="I69" s="25">
        <f t="shared" si="22"/>
        <v>680293.92</v>
      </c>
      <c r="J69" s="25">
        <f t="shared" si="22"/>
        <v>461060.28</v>
      </c>
      <c r="K69" s="25">
        <f t="shared" si="22"/>
        <v>506376.47000000009</v>
      </c>
      <c r="L69" s="27"/>
      <c r="M69" s="163"/>
      <c r="N69" s="163"/>
      <c r="O69" s="62">
        <f t="shared" si="18"/>
        <v>0</v>
      </c>
      <c r="P69" s="183"/>
    </row>
    <row r="70" spans="1:16" x14ac:dyDescent="0.25">
      <c r="A70" s="20" t="s">
        <v>44</v>
      </c>
      <c r="B70" s="25">
        <f t="shared" ref="B70:K70" si="23">+B41+B53+B55+B58+B62+B69</f>
        <v>104936112.92999999</v>
      </c>
      <c r="C70" s="25">
        <f t="shared" si="23"/>
        <v>5165475.4700000016</v>
      </c>
      <c r="D70" s="25">
        <f t="shared" si="23"/>
        <v>191349.32</v>
      </c>
      <c r="E70" s="25">
        <f t="shared" si="23"/>
        <v>1511681.33</v>
      </c>
      <c r="F70" s="25">
        <f t="shared" si="23"/>
        <v>5.2672924140970103</v>
      </c>
      <c r="G70" s="25">
        <f t="shared" si="23"/>
        <v>4595370.2700000014</v>
      </c>
      <c r="H70" s="25">
        <f t="shared" si="23"/>
        <v>6297865.4399999995</v>
      </c>
      <c r="I70" s="25">
        <f t="shared" si="23"/>
        <v>2937683.26</v>
      </c>
      <c r="J70" s="25">
        <f t="shared" si="23"/>
        <v>4640663.2</v>
      </c>
      <c r="K70" s="25">
        <f t="shared" si="23"/>
        <v>4594885.5</v>
      </c>
      <c r="L70" s="27"/>
      <c r="M70" s="163"/>
      <c r="N70" s="163"/>
      <c r="P70" s="186"/>
    </row>
    <row r="71" spans="1:16" x14ac:dyDescent="0.25">
      <c r="A71" s="28"/>
      <c r="B71" s="29"/>
      <c r="C71" s="29"/>
      <c r="D71" s="29"/>
      <c r="E71" s="28"/>
      <c r="F71" s="28"/>
      <c r="G71" s="28"/>
      <c r="H71" s="28"/>
      <c r="I71" s="28"/>
      <c r="J71" s="28"/>
      <c r="K71" s="28"/>
      <c r="L71" s="30"/>
      <c r="M71" s="30"/>
      <c r="N71" s="30"/>
      <c r="P71" s="186"/>
    </row>
    <row r="72" spans="1:16" x14ac:dyDescent="0.25">
      <c r="A72" s="140"/>
      <c r="B72" s="19"/>
      <c r="C72" s="333" t="s">
        <v>45</v>
      </c>
      <c r="D72" s="333"/>
      <c r="E72" s="333"/>
      <c r="F72" s="333"/>
      <c r="G72" s="333"/>
      <c r="H72" s="333"/>
      <c r="I72" s="333"/>
      <c r="J72" s="19"/>
      <c r="K72" s="19"/>
      <c r="L72" s="19"/>
      <c r="M72" s="19"/>
      <c r="N72" s="19"/>
      <c r="P72" s="186"/>
    </row>
    <row r="73" spans="1:16" x14ac:dyDescent="0.25">
      <c r="A73" s="140"/>
      <c r="B73" s="19"/>
      <c r="C73" s="229"/>
      <c r="D73" s="229"/>
      <c r="E73" s="229"/>
      <c r="F73" s="229"/>
      <c r="G73" s="229"/>
      <c r="H73" s="229"/>
      <c r="I73" s="229"/>
      <c r="J73" s="19"/>
      <c r="K73" s="19"/>
      <c r="L73" s="19"/>
      <c r="M73" s="19"/>
      <c r="N73" s="19"/>
      <c r="P73" s="186"/>
    </row>
    <row r="74" spans="1:16" x14ac:dyDescent="0.25">
      <c r="A74" s="140"/>
      <c r="B74" s="325" t="s">
        <v>46</v>
      </c>
      <c r="C74" s="325"/>
      <c r="D74" s="326" t="s">
        <v>47</v>
      </c>
      <c r="E74" s="327"/>
      <c r="F74" s="328"/>
      <c r="G74" s="320" t="s">
        <v>48</v>
      </c>
      <c r="H74" s="320"/>
      <c r="I74" s="227" t="s">
        <v>10</v>
      </c>
      <c r="J74" s="19"/>
      <c r="K74" s="19"/>
      <c r="L74" s="19"/>
      <c r="M74" s="19"/>
      <c r="N74" s="19"/>
      <c r="P74" s="186"/>
    </row>
    <row r="75" spans="1:16" x14ac:dyDescent="0.25">
      <c r="A75" s="140"/>
      <c r="B75" s="329" t="s">
        <v>49</v>
      </c>
      <c r="C75" s="329"/>
      <c r="D75" s="330">
        <v>9000000</v>
      </c>
      <c r="E75" s="331"/>
      <c r="F75" s="332">
        <v>0</v>
      </c>
      <c r="G75" s="330">
        <v>4747791.18</v>
      </c>
      <c r="H75" s="332"/>
      <c r="I75" s="33">
        <f>G75/D75</f>
        <v>0.52753235333333326</v>
      </c>
      <c r="J75" s="19"/>
      <c r="K75" s="19"/>
      <c r="L75" s="19"/>
      <c r="M75" s="19"/>
      <c r="N75" s="19"/>
      <c r="P75" s="186"/>
    </row>
    <row r="76" spans="1:16" x14ac:dyDescent="0.25">
      <c r="A76" s="140"/>
      <c r="B76" s="320"/>
      <c r="C76" s="320"/>
      <c r="D76" s="321"/>
      <c r="E76" s="322"/>
      <c r="F76" s="323"/>
      <c r="G76" s="324"/>
      <c r="H76" s="324"/>
      <c r="I76" s="228"/>
      <c r="J76" s="19"/>
      <c r="K76" s="19"/>
      <c r="L76" s="19"/>
      <c r="M76" s="19"/>
      <c r="N76" s="19"/>
      <c r="P76" s="186"/>
    </row>
    <row r="77" spans="1:16" x14ac:dyDescent="0.25">
      <c r="A77" s="140"/>
      <c r="B77" s="320"/>
      <c r="C77" s="320"/>
      <c r="D77" s="321"/>
      <c r="E77" s="322"/>
      <c r="F77" s="323"/>
      <c r="G77" s="324"/>
      <c r="H77" s="324"/>
      <c r="I77" s="228"/>
      <c r="J77" s="19"/>
      <c r="K77" s="19"/>
      <c r="L77" s="19"/>
      <c r="M77" s="19"/>
      <c r="N77" s="19"/>
      <c r="P77" s="186"/>
    </row>
    <row r="78" spans="1:16" x14ac:dyDescent="0.25">
      <c r="A78" s="140"/>
      <c r="B78" s="320"/>
      <c r="C78" s="320"/>
      <c r="D78" s="321"/>
      <c r="E78" s="322"/>
      <c r="F78" s="323"/>
      <c r="G78" s="324"/>
      <c r="H78" s="324"/>
      <c r="I78" s="228"/>
      <c r="J78" s="19"/>
      <c r="K78" s="19"/>
      <c r="L78" s="19"/>
      <c r="M78" s="19"/>
      <c r="N78" s="19"/>
      <c r="P78" s="186"/>
    </row>
    <row r="79" spans="1:16" x14ac:dyDescent="0.25">
      <c r="A79" s="35" t="s">
        <v>50</v>
      </c>
      <c r="B79" s="36"/>
      <c r="C79" s="36"/>
      <c r="D79" s="36"/>
      <c r="E79" s="36"/>
      <c r="F79" s="36"/>
      <c r="G79" s="37"/>
      <c r="H79" s="37"/>
      <c r="I79" s="38"/>
      <c r="J79" s="19"/>
      <c r="K79" s="19"/>
      <c r="L79" s="19"/>
      <c r="M79" s="19"/>
      <c r="N79" s="19"/>
      <c r="P79" s="186"/>
    </row>
    <row r="80" spans="1:16" x14ac:dyDescent="0.25">
      <c r="P80" s="186"/>
    </row>
    <row r="81" spans="3:16" x14ac:dyDescent="0.25">
      <c r="C81" s="342" t="s">
        <v>125</v>
      </c>
      <c r="D81" s="342"/>
      <c r="I81" s="342" t="s">
        <v>128</v>
      </c>
      <c r="J81" s="342"/>
      <c r="P81" s="186"/>
    </row>
    <row r="82" spans="3:16" x14ac:dyDescent="0.25">
      <c r="P82" s="186"/>
    </row>
    <row r="83" spans="3:16" x14ac:dyDescent="0.25">
      <c r="P83" s="186"/>
    </row>
    <row r="84" spans="3:16" x14ac:dyDescent="0.25">
      <c r="C84" s="342" t="s">
        <v>126</v>
      </c>
      <c r="D84" s="342"/>
      <c r="I84" s="342" t="s">
        <v>129</v>
      </c>
      <c r="J84" s="342"/>
      <c r="P84" s="186"/>
    </row>
    <row r="85" spans="3:16" x14ac:dyDescent="0.25">
      <c r="C85" s="342" t="s">
        <v>127</v>
      </c>
      <c r="D85" s="342"/>
      <c r="I85" s="342" t="s">
        <v>130</v>
      </c>
      <c r="J85" s="342"/>
      <c r="P85" s="186"/>
    </row>
    <row r="86" spans="3:16" x14ac:dyDescent="0.25">
      <c r="P86" s="186"/>
    </row>
    <row r="87" spans="3:16" x14ac:dyDescent="0.25">
      <c r="P87" s="186"/>
    </row>
    <row r="88" spans="3:16" x14ac:dyDescent="0.25">
      <c r="P88" s="186"/>
    </row>
    <row r="89" spans="3:16" x14ac:dyDescent="0.25">
      <c r="P89" s="186"/>
    </row>
    <row r="90" spans="3:16" x14ac:dyDescent="0.25">
      <c r="P90" s="186"/>
    </row>
    <row r="91" spans="3:16" x14ac:dyDescent="0.25">
      <c r="P91" s="186"/>
    </row>
    <row r="92" spans="3:16" x14ac:dyDescent="0.25">
      <c r="P92" s="186"/>
    </row>
    <row r="93" spans="3:16" x14ac:dyDescent="0.25">
      <c r="P93" s="186"/>
    </row>
    <row r="94" spans="3:16" x14ac:dyDescent="0.25">
      <c r="P94" s="186"/>
    </row>
    <row r="95" spans="3:16" x14ac:dyDescent="0.25">
      <c r="P95" s="186"/>
    </row>
    <row r="96" spans="3:16" x14ac:dyDescent="0.25">
      <c r="P96" s="186"/>
    </row>
    <row r="97" spans="16:16" x14ac:dyDescent="0.25">
      <c r="P97" s="186"/>
    </row>
    <row r="98" spans="16:16" x14ac:dyDescent="0.25">
      <c r="P98" s="186"/>
    </row>
    <row r="99" spans="16:16" x14ac:dyDescent="0.25">
      <c r="P99" s="186"/>
    </row>
    <row r="100" spans="16:16" x14ac:dyDescent="0.25">
      <c r="P100" s="186"/>
    </row>
    <row r="101" spans="16:16" x14ac:dyDescent="0.25">
      <c r="P101" s="186"/>
    </row>
    <row r="102" spans="16:16" x14ac:dyDescent="0.25">
      <c r="P102" s="186"/>
    </row>
    <row r="103" spans="16:16" x14ac:dyDescent="0.25">
      <c r="P103" s="186"/>
    </row>
    <row r="104" spans="16:16" x14ac:dyDescent="0.25">
      <c r="P104" s="186"/>
    </row>
    <row r="105" spans="16:16" x14ac:dyDescent="0.25">
      <c r="P105" s="186"/>
    </row>
    <row r="106" spans="16:16" x14ac:dyDescent="0.25">
      <c r="P106" s="186"/>
    </row>
    <row r="107" spans="16:16" x14ac:dyDescent="0.25">
      <c r="P107" s="186"/>
    </row>
    <row r="108" spans="16:16" x14ac:dyDescent="0.25">
      <c r="P108" s="186"/>
    </row>
    <row r="109" spans="16:16" x14ac:dyDescent="0.25">
      <c r="P109" s="186"/>
    </row>
    <row r="110" spans="16:16" x14ac:dyDescent="0.25">
      <c r="P110" s="186"/>
    </row>
    <row r="111" spans="16:16" x14ac:dyDescent="0.25">
      <c r="P111" s="186"/>
    </row>
    <row r="112" spans="16:16" x14ac:dyDescent="0.25">
      <c r="P112" s="186"/>
    </row>
    <row r="113" spans="16:16" x14ac:dyDescent="0.25">
      <c r="P113" s="186"/>
    </row>
    <row r="114" spans="16:16" x14ac:dyDescent="0.25">
      <c r="P114" s="186"/>
    </row>
    <row r="115" spans="16:16" x14ac:dyDescent="0.25">
      <c r="P115" s="186"/>
    </row>
    <row r="116" spans="16:16" x14ac:dyDescent="0.25">
      <c r="P116" s="186"/>
    </row>
    <row r="117" spans="16:16" x14ac:dyDescent="0.25">
      <c r="P117" s="186"/>
    </row>
    <row r="118" spans="16:16" x14ac:dyDescent="0.25">
      <c r="P118" s="186"/>
    </row>
    <row r="119" spans="16:16" x14ac:dyDescent="0.25">
      <c r="P119" s="186"/>
    </row>
    <row r="120" spans="16:16" x14ac:dyDescent="0.25">
      <c r="P120" s="186"/>
    </row>
    <row r="121" spans="16:16" x14ac:dyDescent="0.25">
      <c r="P121" s="186"/>
    </row>
    <row r="122" spans="16:16" x14ac:dyDescent="0.25">
      <c r="P122" s="186"/>
    </row>
    <row r="123" spans="16:16" x14ac:dyDescent="0.25">
      <c r="P123" s="186"/>
    </row>
    <row r="124" spans="16:16" x14ac:dyDescent="0.25">
      <c r="P124" s="186"/>
    </row>
    <row r="125" spans="16:16" x14ac:dyDescent="0.25">
      <c r="P125" s="186"/>
    </row>
    <row r="126" spans="16:16" x14ac:dyDescent="0.25">
      <c r="P126" s="186"/>
    </row>
    <row r="127" spans="16:16" x14ac:dyDescent="0.25">
      <c r="P127" s="186"/>
    </row>
    <row r="128" spans="16:16" x14ac:dyDescent="0.25">
      <c r="P128" s="186"/>
    </row>
    <row r="129" spans="16:16" x14ac:dyDescent="0.25">
      <c r="P129" s="186"/>
    </row>
    <row r="130" spans="16:16" x14ac:dyDescent="0.25">
      <c r="P130" s="186"/>
    </row>
    <row r="131" spans="16:16" x14ac:dyDescent="0.25">
      <c r="P131" s="186"/>
    </row>
    <row r="132" spans="16:16" x14ac:dyDescent="0.25">
      <c r="P132" s="186"/>
    </row>
    <row r="133" spans="16:16" x14ac:dyDescent="0.25">
      <c r="P133" s="186"/>
    </row>
    <row r="134" spans="16:16" x14ac:dyDescent="0.25">
      <c r="P134" s="186"/>
    </row>
    <row r="135" spans="16:16" x14ac:dyDescent="0.25">
      <c r="P135" s="186"/>
    </row>
    <row r="136" spans="16:16" x14ac:dyDescent="0.25">
      <c r="P136" s="186"/>
    </row>
    <row r="137" spans="16:16" x14ac:dyDescent="0.25">
      <c r="P137" s="186"/>
    </row>
    <row r="138" spans="16:16" x14ac:dyDescent="0.25">
      <c r="P138" s="186"/>
    </row>
    <row r="139" spans="16:16" x14ac:dyDescent="0.25">
      <c r="P139" s="186"/>
    </row>
    <row r="140" spans="16:16" x14ac:dyDescent="0.25">
      <c r="P140" s="186"/>
    </row>
    <row r="141" spans="16:16" x14ac:dyDescent="0.25">
      <c r="P141" s="186"/>
    </row>
    <row r="142" spans="16:16" x14ac:dyDescent="0.25">
      <c r="P142" s="186"/>
    </row>
    <row r="143" spans="16:16" x14ac:dyDescent="0.25">
      <c r="P143" s="186"/>
    </row>
    <row r="144" spans="16:16" x14ac:dyDescent="0.25">
      <c r="P144" s="186"/>
    </row>
    <row r="145" spans="16:16" x14ac:dyDescent="0.25">
      <c r="P145" s="186"/>
    </row>
    <row r="146" spans="16:16" x14ac:dyDescent="0.25">
      <c r="P146" s="186"/>
    </row>
    <row r="147" spans="16:16" x14ac:dyDescent="0.25">
      <c r="P147" s="186"/>
    </row>
    <row r="148" spans="16:16" x14ac:dyDescent="0.25">
      <c r="P148" s="186"/>
    </row>
    <row r="149" spans="16:16" x14ac:dyDescent="0.25">
      <c r="P149" s="186"/>
    </row>
    <row r="150" spans="16:16" x14ac:dyDescent="0.25">
      <c r="P150" s="186"/>
    </row>
    <row r="151" spans="16:16" x14ac:dyDescent="0.25">
      <c r="P151" s="186"/>
    </row>
    <row r="152" spans="16:16" x14ac:dyDescent="0.25">
      <c r="P152" s="186"/>
    </row>
    <row r="153" spans="16:16" x14ac:dyDescent="0.25">
      <c r="P153" s="186"/>
    </row>
    <row r="154" spans="16:16" x14ac:dyDescent="0.25">
      <c r="P154" s="186"/>
    </row>
    <row r="155" spans="16:16" x14ac:dyDescent="0.25">
      <c r="P155" s="186"/>
    </row>
    <row r="156" spans="16:16" x14ac:dyDescent="0.25">
      <c r="P156" s="186"/>
    </row>
    <row r="157" spans="16:16" x14ac:dyDescent="0.25">
      <c r="P157" s="186"/>
    </row>
    <row r="158" spans="16:16" x14ac:dyDescent="0.25">
      <c r="P158" s="186"/>
    </row>
    <row r="159" spans="16:16" x14ac:dyDescent="0.25">
      <c r="P159" s="186"/>
    </row>
    <row r="160" spans="16:16" x14ac:dyDescent="0.25">
      <c r="P160" s="186"/>
    </row>
    <row r="161" spans="16:16" x14ac:dyDescent="0.25">
      <c r="P161" s="186"/>
    </row>
    <row r="162" spans="16:16" x14ac:dyDescent="0.25">
      <c r="P162" s="186"/>
    </row>
    <row r="163" spans="16:16" x14ac:dyDescent="0.25">
      <c r="P163" s="186"/>
    </row>
    <row r="164" spans="16:16" x14ac:dyDescent="0.25">
      <c r="P164" s="186"/>
    </row>
    <row r="165" spans="16:16" x14ac:dyDescent="0.25">
      <c r="P165" s="186"/>
    </row>
    <row r="166" spans="16:16" x14ac:dyDescent="0.25">
      <c r="P166" s="186"/>
    </row>
    <row r="167" spans="16:16" x14ac:dyDescent="0.25">
      <c r="P167" s="186"/>
    </row>
    <row r="168" spans="16:16" x14ac:dyDescent="0.25">
      <c r="P168" s="186"/>
    </row>
    <row r="169" spans="16:16" x14ac:dyDescent="0.25">
      <c r="P169" s="186"/>
    </row>
    <row r="170" spans="16:16" x14ac:dyDescent="0.25">
      <c r="P170" s="186"/>
    </row>
    <row r="171" spans="16:16" x14ac:dyDescent="0.25">
      <c r="P171" s="186"/>
    </row>
    <row r="172" spans="16:16" x14ac:dyDescent="0.25">
      <c r="P172" s="186"/>
    </row>
    <row r="173" spans="16:16" x14ac:dyDescent="0.25">
      <c r="P173" s="186"/>
    </row>
    <row r="174" spans="16:16" x14ac:dyDescent="0.25">
      <c r="P174" s="186"/>
    </row>
    <row r="175" spans="16:16" x14ac:dyDescent="0.25">
      <c r="P175" s="186"/>
    </row>
    <row r="176" spans="16:16" x14ac:dyDescent="0.25">
      <c r="P176" s="186"/>
    </row>
    <row r="177" spans="16:16" x14ac:dyDescent="0.25">
      <c r="P177" s="186"/>
    </row>
    <row r="178" spans="16:16" x14ac:dyDescent="0.25">
      <c r="P178" s="186"/>
    </row>
    <row r="179" spans="16:16" x14ac:dyDescent="0.25">
      <c r="P179" s="186"/>
    </row>
    <row r="180" spans="16:16" x14ac:dyDescent="0.25">
      <c r="P180" s="186"/>
    </row>
    <row r="181" spans="16:16" x14ac:dyDescent="0.25">
      <c r="P181" s="186"/>
    </row>
    <row r="182" spans="16:16" x14ac:dyDescent="0.25">
      <c r="P182" s="186"/>
    </row>
    <row r="183" spans="16:16" x14ac:dyDescent="0.25">
      <c r="P183" s="186"/>
    </row>
    <row r="184" spans="16:16" x14ac:dyDescent="0.25">
      <c r="P184" s="186"/>
    </row>
    <row r="185" spans="16:16" x14ac:dyDescent="0.25">
      <c r="P185" s="186"/>
    </row>
    <row r="186" spans="16:16" x14ac:dyDescent="0.25">
      <c r="P186" s="186"/>
    </row>
    <row r="187" spans="16:16" x14ac:dyDescent="0.25">
      <c r="P187" s="186"/>
    </row>
    <row r="188" spans="16:16" x14ac:dyDescent="0.25">
      <c r="P188" s="186"/>
    </row>
    <row r="189" spans="16:16" x14ac:dyDescent="0.25">
      <c r="P189" s="186"/>
    </row>
    <row r="190" spans="16:16" x14ac:dyDescent="0.25">
      <c r="P190" s="186"/>
    </row>
    <row r="191" spans="16:16" x14ac:dyDescent="0.25">
      <c r="P191" s="186"/>
    </row>
    <row r="192" spans="16:16" x14ac:dyDescent="0.25">
      <c r="P192" s="186"/>
    </row>
    <row r="193" spans="16:16" x14ac:dyDescent="0.25">
      <c r="P193" s="186"/>
    </row>
    <row r="194" spans="16:16" x14ac:dyDescent="0.25">
      <c r="P194" s="186"/>
    </row>
    <row r="195" spans="16:16" x14ac:dyDescent="0.25">
      <c r="P195" s="186"/>
    </row>
    <row r="196" spans="16:16" x14ac:dyDescent="0.25">
      <c r="P196" s="186"/>
    </row>
    <row r="197" spans="16:16" x14ac:dyDescent="0.25">
      <c r="P197" s="186"/>
    </row>
    <row r="198" spans="16:16" x14ac:dyDescent="0.25">
      <c r="P198" s="186"/>
    </row>
    <row r="199" spans="16:16" x14ac:dyDescent="0.25">
      <c r="P199" s="186"/>
    </row>
    <row r="200" spans="16:16" x14ac:dyDescent="0.25">
      <c r="P200" s="186"/>
    </row>
    <row r="201" spans="16:16" x14ac:dyDescent="0.25">
      <c r="P201" s="186"/>
    </row>
    <row r="202" spans="16:16" x14ac:dyDescent="0.25">
      <c r="P202" s="186"/>
    </row>
    <row r="203" spans="16:16" x14ac:dyDescent="0.25">
      <c r="P203" s="186"/>
    </row>
    <row r="204" spans="16:16" x14ac:dyDescent="0.25">
      <c r="P204" s="186"/>
    </row>
    <row r="205" spans="16:16" x14ac:dyDescent="0.25">
      <c r="P205" s="186"/>
    </row>
    <row r="206" spans="16:16" x14ac:dyDescent="0.25">
      <c r="P206" s="186"/>
    </row>
    <row r="207" spans="16:16" x14ac:dyDescent="0.25">
      <c r="P207" s="186"/>
    </row>
    <row r="208" spans="16:16" x14ac:dyDescent="0.25">
      <c r="P208" s="186"/>
    </row>
    <row r="209" spans="16:16" x14ac:dyDescent="0.25">
      <c r="P209" s="186"/>
    </row>
    <row r="210" spans="16:16" x14ac:dyDescent="0.25">
      <c r="P210" s="186"/>
    </row>
    <row r="211" spans="16:16" x14ac:dyDescent="0.25">
      <c r="P211" s="186"/>
    </row>
    <row r="212" spans="16:16" x14ac:dyDescent="0.25">
      <c r="P212" s="186"/>
    </row>
    <row r="213" spans="16:16" x14ac:dyDescent="0.25">
      <c r="P213" s="186"/>
    </row>
    <row r="214" spans="16:16" x14ac:dyDescent="0.25">
      <c r="P214" s="186"/>
    </row>
    <row r="215" spans="16:16" x14ac:dyDescent="0.25">
      <c r="P215" s="186"/>
    </row>
    <row r="216" spans="16:16" x14ac:dyDescent="0.25">
      <c r="P216" s="186"/>
    </row>
    <row r="217" spans="16:16" x14ac:dyDescent="0.25">
      <c r="P217" s="186"/>
    </row>
    <row r="218" spans="16:16" x14ac:dyDescent="0.25">
      <c r="P218" s="186"/>
    </row>
    <row r="219" spans="16:16" x14ac:dyDescent="0.25">
      <c r="P219" s="186"/>
    </row>
    <row r="220" spans="16:16" x14ac:dyDescent="0.25">
      <c r="P220" s="186"/>
    </row>
    <row r="221" spans="16:16" x14ac:dyDescent="0.25">
      <c r="P221" s="186"/>
    </row>
    <row r="222" spans="16:16" x14ac:dyDescent="0.25">
      <c r="P222" s="186"/>
    </row>
    <row r="223" spans="16:16" x14ac:dyDescent="0.25">
      <c r="P223" s="186"/>
    </row>
    <row r="224" spans="16:16" x14ac:dyDescent="0.25">
      <c r="P224" s="186"/>
    </row>
    <row r="225" spans="16:16" x14ac:dyDescent="0.25">
      <c r="P225" s="186"/>
    </row>
    <row r="226" spans="16:16" x14ac:dyDescent="0.25">
      <c r="P226" s="186"/>
    </row>
    <row r="227" spans="16:16" x14ac:dyDescent="0.25">
      <c r="P227" s="186"/>
    </row>
    <row r="228" spans="16:16" x14ac:dyDescent="0.25">
      <c r="P228" s="186"/>
    </row>
    <row r="229" spans="16:16" x14ac:dyDescent="0.25">
      <c r="P229" s="186"/>
    </row>
    <row r="230" spans="16:16" x14ac:dyDescent="0.25">
      <c r="P230" s="186"/>
    </row>
    <row r="231" spans="16:16" x14ac:dyDescent="0.25">
      <c r="P231" s="186"/>
    </row>
    <row r="232" spans="16:16" x14ac:dyDescent="0.25">
      <c r="P232" s="186"/>
    </row>
    <row r="233" spans="16:16" x14ac:dyDescent="0.25">
      <c r="P233" s="186"/>
    </row>
    <row r="234" spans="16:16" x14ac:dyDescent="0.25">
      <c r="P234" s="186"/>
    </row>
    <row r="235" spans="16:16" x14ac:dyDescent="0.25">
      <c r="P235" s="186"/>
    </row>
    <row r="236" spans="16:16" x14ac:dyDescent="0.25">
      <c r="P236" s="186"/>
    </row>
    <row r="237" spans="16:16" x14ac:dyDescent="0.25">
      <c r="P237" s="186"/>
    </row>
    <row r="238" spans="16:16" x14ac:dyDescent="0.25">
      <c r="P238" s="186"/>
    </row>
    <row r="239" spans="16:16" x14ac:dyDescent="0.25">
      <c r="P239" s="186"/>
    </row>
    <row r="240" spans="16:16" x14ac:dyDescent="0.25">
      <c r="P240" s="186"/>
    </row>
    <row r="241" spans="16:16" x14ac:dyDescent="0.25">
      <c r="P241" s="186"/>
    </row>
    <row r="242" spans="16:16" x14ac:dyDescent="0.25">
      <c r="P242" s="186"/>
    </row>
    <row r="243" spans="16:16" x14ac:dyDescent="0.25">
      <c r="P243" s="186"/>
    </row>
    <row r="244" spans="16:16" x14ac:dyDescent="0.25">
      <c r="P244" s="186"/>
    </row>
    <row r="245" spans="16:16" x14ac:dyDescent="0.25">
      <c r="P245" s="186"/>
    </row>
    <row r="246" spans="16:16" x14ac:dyDescent="0.25">
      <c r="P246" s="186"/>
    </row>
    <row r="247" spans="16:16" x14ac:dyDescent="0.25">
      <c r="P247" s="186"/>
    </row>
    <row r="248" spans="16:16" x14ac:dyDescent="0.25">
      <c r="P248" s="186"/>
    </row>
    <row r="249" spans="16:16" x14ac:dyDescent="0.25">
      <c r="P249" s="186"/>
    </row>
    <row r="250" spans="16:16" x14ac:dyDescent="0.25">
      <c r="P250" s="186"/>
    </row>
    <row r="251" spans="16:16" x14ac:dyDescent="0.25">
      <c r="P251" s="186"/>
    </row>
    <row r="252" spans="16:16" x14ac:dyDescent="0.25">
      <c r="P252" s="186"/>
    </row>
    <row r="253" spans="16:16" x14ac:dyDescent="0.25">
      <c r="P253" s="186"/>
    </row>
    <row r="254" spans="16:16" x14ac:dyDescent="0.25">
      <c r="P254" s="186"/>
    </row>
    <row r="255" spans="16:16" x14ac:dyDescent="0.25">
      <c r="P255" s="186"/>
    </row>
    <row r="256" spans="16:16" x14ac:dyDescent="0.25">
      <c r="P256" s="186"/>
    </row>
    <row r="257" spans="16:16" x14ac:dyDescent="0.25">
      <c r="P257" s="186"/>
    </row>
    <row r="258" spans="16:16" x14ac:dyDescent="0.25">
      <c r="P258" s="186"/>
    </row>
    <row r="259" spans="16:16" x14ac:dyDescent="0.25">
      <c r="P259" s="186"/>
    </row>
    <row r="260" spans="16:16" x14ac:dyDescent="0.25">
      <c r="P260" s="186"/>
    </row>
    <row r="261" spans="16:16" x14ac:dyDescent="0.25">
      <c r="P261" s="186"/>
    </row>
    <row r="262" spans="16:16" x14ac:dyDescent="0.25">
      <c r="P262" s="186"/>
    </row>
    <row r="263" spans="16:16" x14ac:dyDescent="0.25">
      <c r="P263" s="186"/>
    </row>
    <row r="264" spans="16:16" x14ac:dyDescent="0.25">
      <c r="P264" s="186"/>
    </row>
    <row r="265" spans="16:16" x14ac:dyDescent="0.25">
      <c r="P265" s="186"/>
    </row>
    <row r="266" spans="16:16" x14ac:dyDescent="0.25">
      <c r="P266" s="186"/>
    </row>
    <row r="267" spans="16:16" x14ac:dyDescent="0.25">
      <c r="P267" s="186"/>
    </row>
    <row r="268" spans="16:16" x14ac:dyDescent="0.25">
      <c r="P268" s="186"/>
    </row>
    <row r="269" spans="16:16" x14ac:dyDescent="0.25">
      <c r="P269" s="186"/>
    </row>
    <row r="270" spans="16:16" x14ac:dyDescent="0.25">
      <c r="P270" s="186"/>
    </row>
    <row r="271" spans="16:16" x14ac:dyDescent="0.25">
      <c r="P271" s="186"/>
    </row>
    <row r="272" spans="16:16" x14ac:dyDescent="0.25">
      <c r="P272" s="186"/>
    </row>
    <row r="273" spans="16:16" x14ac:dyDescent="0.25">
      <c r="P273" s="186"/>
    </row>
    <row r="274" spans="16:16" x14ac:dyDescent="0.25">
      <c r="P274" s="186"/>
    </row>
    <row r="275" spans="16:16" x14ac:dyDescent="0.25">
      <c r="P275" s="186"/>
    </row>
    <row r="276" spans="16:16" x14ac:dyDescent="0.25">
      <c r="P276" s="186"/>
    </row>
    <row r="277" spans="16:16" x14ac:dyDescent="0.25">
      <c r="P277" s="186"/>
    </row>
    <row r="278" spans="16:16" x14ac:dyDescent="0.25">
      <c r="P278" s="186"/>
    </row>
    <row r="279" spans="16:16" x14ac:dyDescent="0.25">
      <c r="P279" s="186"/>
    </row>
    <row r="280" spans="16:16" x14ac:dyDescent="0.25">
      <c r="P280" s="186"/>
    </row>
    <row r="281" spans="16:16" x14ac:dyDescent="0.25">
      <c r="P281" s="186"/>
    </row>
    <row r="282" spans="16:16" x14ac:dyDescent="0.25">
      <c r="P282" s="186"/>
    </row>
    <row r="283" spans="16:16" x14ac:dyDescent="0.25">
      <c r="P283" s="186"/>
    </row>
    <row r="284" spans="16:16" x14ac:dyDescent="0.25">
      <c r="P284" s="186"/>
    </row>
  </sheetData>
  <mergeCells count="39">
    <mergeCell ref="A1:L1"/>
    <mergeCell ref="A3:L3"/>
    <mergeCell ref="A6:L6"/>
    <mergeCell ref="A7:L7"/>
    <mergeCell ref="C8:G8"/>
    <mergeCell ref="H8:K8"/>
    <mergeCell ref="A9:A10"/>
    <mergeCell ref="B9:B10"/>
    <mergeCell ref="C9:C10"/>
    <mergeCell ref="D9:D10"/>
    <mergeCell ref="E9:E10"/>
    <mergeCell ref="J9:J10"/>
    <mergeCell ref="K9:K10"/>
    <mergeCell ref="B74:C74"/>
    <mergeCell ref="D74:F74"/>
    <mergeCell ref="G74:H74"/>
    <mergeCell ref="C72:I72"/>
    <mergeCell ref="F9:F10"/>
    <mergeCell ref="G9:G10"/>
    <mergeCell ref="H9:H10"/>
    <mergeCell ref="I9:I10"/>
    <mergeCell ref="B75:C75"/>
    <mergeCell ref="D75:F75"/>
    <mergeCell ref="G75:H75"/>
    <mergeCell ref="B76:C76"/>
    <mergeCell ref="D76:F76"/>
    <mergeCell ref="G76:H76"/>
    <mergeCell ref="B77:C77"/>
    <mergeCell ref="D77:F77"/>
    <mergeCell ref="G77:H77"/>
    <mergeCell ref="C85:D85"/>
    <mergeCell ref="I85:J85"/>
    <mergeCell ref="B78:C78"/>
    <mergeCell ref="D78:F78"/>
    <mergeCell ref="G78:H78"/>
    <mergeCell ref="C81:D81"/>
    <mergeCell ref="I81:J81"/>
    <mergeCell ref="C84:D84"/>
    <mergeCell ref="I84:J84"/>
  </mergeCells>
  <printOptions horizontalCentered="1" verticalCentered="1"/>
  <pageMargins left="0.25" right="0.25" top="0.75" bottom="0.75" header="0.3" footer="0.3"/>
  <pageSetup scale="6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T285"/>
  <sheetViews>
    <sheetView workbookViewId="0">
      <selection activeCell="J30" sqref="J30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4" width="16.5703125" style="1" customWidth="1"/>
    <col min="15" max="15" width="24.28515625" style="165" customWidth="1"/>
    <col min="16" max="16" width="16.5703125" style="169" customWidth="1"/>
    <col min="17" max="18" width="16.5703125" style="141"/>
    <col min="19" max="258" width="16.5703125" style="1"/>
    <col min="259" max="259" width="16.5703125" style="1" customWidth="1"/>
    <col min="260" max="263" width="12.7109375" style="1" customWidth="1"/>
    <col min="264" max="264" width="6.5703125" style="1" bestFit="1" customWidth="1"/>
    <col min="265" max="269" width="12.7109375" style="1" customWidth="1"/>
    <col min="270" max="514" width="16.5703125" style="1"/>
    <col min="515" max="515" width="16.5703125" style="1" customWidth="1"/>
    <col min="516" max="519" width="12.7109375" style="1" customWidth="1"/>
    <col min="520" max="520" width="6.5703125" style="1" bestFit="1" customWidth="1"/>
    <col min="521" max="525" width="12.7109375" style="1" customWidth="1"/>
    <col min="526" max="770" width="16.5703125" style="1"/>
    <col min="771" max="771" width="16.5703125" style="1" customWidth="1"/>
    <col min="772" max="775" width="12.7109375" style="1" customWidth="1"/>
    <col min="776" max="776" width="6.5703125" style="1" bestFit="1" customWidth="1"/>
    <col min="777" max="781" width="12.7109375" style="1" customWidth="1"/>
    <col min="782" max="1026" width="16.5703125" style="1"/>
    <col min="1027" max="1027" width="16.5703125" style="1" customWidth="1"/>
    <col min="1028" max="1031" width="12.7109375" style="1" customWidth="1"/>
    <col min="1032" max="1032" width="6.5703125" style="1" bestFit="1" customWidth="1"/>
    <col min="1033" max="1037" width="12.7109375" style="1" customWidth="1"/>
    <col min="1038" max="1282" width="16.5703125" style="1"/>
    <col min="1283" max="1283" width="16.5703125" style="1" customWidth="1"/>
    <col min="1284" max="1287" width="12.7109375" style="1" customWidth="1"/>
    <col min="1288" max="1288" width="6.5703125" style="1" bestFit="1" customWidth="1"/>
    <col min="1289" max="1293" width="12.7109375" style="1" customWidth="1"/>
    <col min="1294" max="1538" width="16.5703125" style="1"/>
    <col min="1539" max="1539" width="16.5703125" style="1" customWidth="1"/>
    <col min="1540" max="1543" width="12.7109375" style="1" customWidth="1"/>
    <col min="1544" max="1544" width="6.5703125" style="1" bestFit="1" customWidth="1"/>
    <col min="1545" max="1549" width="12.7109375" style="1" customWidth="1"/>
    <col min="1550" max="1794" width="16.5703125" style="1"/>
    <col min="1795" max="1795" width="16.5703125" style="1" customWidth="1"/>
    <col min="1796" max="1799" width="12.7109375" style="1" customWidth="1"/>
    <col min="1800" max="1800" width="6.5703125" style="1" bestFit="1" customWidth="1"/>
    <col min="1801" max="1805" width="12.7109375" style="1" customWidth="1"/>
    <col min="1806" max="2050" width="16.5703125" style="1"/>
    <col min="2051" max="2051" width="16.5703125" style="1" customWidth="1"/>
    <col min="2052" max="2055" width="12.7109375" style="1" customWidth="1"/>
    <col min="2056" max="2056" width="6.5703125" style="1" bestFit="1" customWidth="1"/>
    <col min="2057" max="2061" width="12.7109375" style="1" customWidth="1"/>
    <col min="2062" max="2306" width="16.5703125" style="1"/>
    <col min="2307" max="2307" width="16.5703125" style="1" customWidth="1"/>
    <col min="2308" max="2311" width="12.7109375" style="1" customWidth="1"/>
    <col min="2312" max="2312" width="6.5703125" style="1" bestFit="1" customWidth="1"/>
    <col min="2313" max="2317" width="12.7109375" style="1" customWidth="1"/>
    <col min="2318" max="2562" width="16.5703125" style="1"/>
    <col min="2563" max="2563" width="16.5703125" style="1" customWidth="1"/>
    <col min="2564" max="2567" width="12.7109375" style="1" customWidth="1"/>
    <col min="2568" max="2568" width="6.5703125" style="1" bestFit="1" customWidth="1"/>
    <col min="2569" max="2573" width="12.7109375" style="1" customWidth="1"/>
    <col min="2574" max="2818" width="16.5703125" style="1"/>
    <col min="2819" max="2819" width="16.5703125" style="1" customWidth="1"/>
    <col min="2820" max="2823" width="12.7109375" style="1" customWidth="1"/>
    <col min="2824" max="2824" width="6.5703125" style="1" bestFit="1" customWidth="1"/>
    <col min="2825" max="2829" width="12.7109375" style="1" customWidth="1"/>
    <col min="2830" max="3074" width="16.5703125" style="1"/>
    <col min="3075" max="3075" width="16.5703125" style="1" customWidth="1"/>
    <col min="3076" max="3079" width="12.7109375" style="1" customWidth="1"/>
    <col min="3080" max="3080" width="6.5703125" style="1" bestFit="1" customWidth="1"/>
    <col min="3081" max="3085" width="12.7109375" style="1" customWidth="1"/>
    <col min="3086" max="3330" width="16.5703125" style="1"/>
    <col min="3331" max="3331" width="16.5703125" style="1" customWidth="1"/>
    <col min="3332" max="3335" width="12.7109375" style="1" customWidth="1"/>
    <col min="3336" max="3336" width="6.5703125" style="1" bestFit="1" customWidth="1"/>
    <col min="3337" max="3341" width="12.7109375" style="1" customWidth="1"/>
    <col min="3342" max="3586" width="16.5703125" style="1"/>
    <col min="3587" max="3587" width="16.5703125" style="1" customWidth="1"/>
    <col min="3588" max="3591" width="12.7109375" style="1" customWidth="1"/>
    <col min="3592" max="3592" width="6.5703125" style="1" bestFit="1" customWidth="1"/>
    <col min="3593" max="3597" width="12.7109375" style="1" customWidth="1"/>
    <col min="3598" max="3842" width="16.5703125" style="1"/>
    <col min="3843" max="3843" width="16.5703125" style="1" customWidth="1"/>
    <col min="3844" max="3847" width="12.7109375" style="1" customWidth="1"/>
    <col min="3848" max="3848" width="6.5703125" style="1" bestFit="1" customWidth="1"/>
    <col min="3849" max="3853" width="12.7109375" style="1" customWidth="1"/>
    <col min="3854" max="4098" width="16.5703125" style="1"/>
    <col min="4099" max="4099" width="16.5703125" style="1" customWidth="1"/>
    <col min="4100" max="4103" width="12.7109375" style="1" customWidth="1"/>
    <col min="4104" max="4104" width="6.5703125" style="1" bestFit="1" customWidth="1"/>
    <col min="4105" max="4109" width="12.7109375" style="1" customWidth="1"/>
    <col min="4110" max="4354" width="16.5703125" style="1"/>
    <col min="4355" max="4355" width="16.5703125" style="1" customWidth="1"/>
    <col min="4356" max="4359" width="12.7109375" style="1" customWidth="1"/>
    <col min="4360" max="4360" width="6.5703125" style="1" bestFit="1" customWidth="1"/>
    <col min="4361" max="4365" width="12.7109375" style="1" customWidth="1"/>
    <col min="4366" max="4610" width="16.5703125" style="1"/>
    <col min="4611" max="4611" width="16.5703125" style="1" customWidth="1"/>
    <col min="4612" max="4615" width="12.7109375" style="1" customWidth="1"/>
    <col min="4616" max="4616" width="6.5703125" style="1" bestFit="1" customWidth="1"/>
    <col min="4617" max="4621" width="12.7109375" style="1" customWidth="1"/>
    <col min="4622" max="4866" width="16.5703125" style="1"/>
    <col min="4867" max="4867" width="16.5703125" style="1" customWidth="1"/>
    <col min="4868" max="4871" width="12.7109375" style="1" customWidth="1"/>
    <col min="4872" max="4872" width="6.5703125" style="1" bestFit="1" customWidth="1"/>
    <col min="4873" max="4877" width="12.7109375" style="1" customWidth="1"/>
    <col min="4878" max="5122" width="16.5703125" style="1"/>
    <col min="5123" max="5123" width="16.5703125" style="1" customWidth="1"/>
    <col min="5124" max="5127" width="12.7109375" style="1" customWidth="1"/>
    <col min="5128" max="5128" width="6.5703125" style="1" bestFit="1" customWidth="1"/>
    <col min="5129" max="5133" width="12.7109375" style="1" customWidth="1"/>
    <col min="5134" max="5378" width="16.5703125" style="1"/>
    <col min="5379" max="5379" width="16.5703125" style="1" customWidth="1"/>
    <col min="5380" max="5383" width="12.7109375" style="1" customWidth="1"/>
    <col min="5384" max="5384" width="6.5703125" style="1" bestFit="1" customWidth="1"/>
    <col min="5385" max="5389" width="12.7109375" style="1" customWidth="1"/>
    <col min="5390" max="5634" width="16.5703125" style="1"/>
    <col min="5635" max="5635" width="16.5703125" style="1" customWidth="1"/>
    <col min="5636" max="5639" width="12.7109375" style="1" customWidth="1"/>
    <col min="5640" max="5640" width="6.5703125" style="1" bestFit="1" customWidth="1"/>
    <col min="5641" max="5645" width="12.7109375" style="1" customWidth="1"/>
    <col min="5646" max="5890" width="16.5703125" style="1"/>
    <col min="5891" max="5891" width="16.5703125" style="1" customWidth="1"/>
    <col min="5892" max="5895" width="12.7109375" style="1" customWidth="1"/>
    <col min="5896" max="5896" width="6.5703125" style="1" bestFit="1" customWidth="1"/>
    <col min="5897" max="5901" width="12.7109375" style="1" customWidth="1"/>
    <col min="5902" max="6146" width="16.5703125" style="1"/>
    <col min="6147" max="6147" width="16.5703125" style="1" customWidth="1"/>
    <col min="6148" max="6151" width="12.7109375" style="1" customWidth="1"/>
    <col min="6152" max="6152" width="6.5703125" style="1" bestFit="1" customWidth="1"/>
    <col min="6153" max="6157" width="12.7109375" style="1" customWidth="1"/>
    <col min="6158" max="6402" width="16.5703125" style="1"/>
    <col min="6403" max="6403" width="16.5703125" style="1" customWidth="1"/>
    <col min="6404" max="6407" width="12.7109375" style="1" customWidth="1"/>
    <col min="6408" max="6408" width="6.5703125" style="1" bestFit="1" customWidth="1"/>
    <col min="6409" max="6413" width="12.7109375" style="1" customWidth="1"/>
    <col min="6414" max="6658" width="16.5703125" style="1"/>
    <col min="6659" max="6659" width="16.5703125" style="1" customWidth="1"/>
    <col min="6660" max="6663" width="12.7109375" style="1" customWidth="1"/>
    <col min="6664" max="6664" width="6.5703125" style="1" bestFit="1" customWidth="1"/>
    <col min="6665" max="6669" width="12.7109375" style="1" customWidth="1"/>
    <col min="6670" max="6914" width="16.5703125" style="1"/>
    <col min="6915" max="6915" width="16.5703125" style="1" customWidth="1"/>
    <col min="6916" max="6919" width="12.7109375" style="1" customWidth="1"/>
    <col min="6920" max="6920" width="6.5703125" style="1" bestFit="1" customWidth="1"/>
    <col min="6921" max="6925" width="12.7109375" style="1" customWidth="1"/>
    <col min="6926" max="7170" width="16.5703125" style="1"/>
    <col min="7171" max="7171" width="16.5703125" style="1" customWidth="1"/>
    <col min="7172" max="7175" width="12.7109375" style="1" customWidth="1"/>
    <col min="7176" max="7176" width="6.5703125" style="1" bestFit="1" customWidth="1"/>
    <col min="7177" max="7181" width="12.7109375" style="1" customWidth="1"/>
    <col min="7182" max="7426" width="16.5703125" style="1"/>
    <col min="7427" max="7427" width="16.5703125" style="1" customWidth="1"/>
    <col min="7428" max="7431" width="12.7109375" style="1" customWidth="1"/>
    <col min="7432" max="7432" width="6.5703125" style="1" bestFit="1" customWidth="1"/>
    <col min="7433" max="7437" width="12.7109375" style="1" customWidth="1"/>
    <col min="7438" max="7682" width="16.5703125" style="1"/>
    <col min="7683" max="7683" width="16.5703125" style="1" customWidth="1"/>
    <col min="7684" max="7687" width="12.7109375" style="1" customWidth="1"/>
    <col min="7688" max="7688" width="6.5703125" style="1" bestFit="1" customWidth="1"/>
    <col min="7689" max="7693" width="12.7109375" style="1" customWidth="1"/>
    <col min="7694" max="7938" width="16.5703125" style="1"/>
    <col min="7939" max="7939" width="16.5703125" style="1" customWidth="1"/>
    <col min="7940" max="7943" width="12.7109375" style="1" customWidth="1"/>
    <col min="7944" max="7944" width="6.5703125" style="1" bestFit="1" customWidth="1"/>
    <col min="7945" max="7949" width="12.7109375" style="1" customWidth="1"/>
    <col min="7950" max="8194" width="16.5703125" style="1"/>
    <col min="8195" max="8195" width="16.5703125" style="1" customWidth="1"/>
    <col min="8196" max="8199" width="12.7109375" style="1" customWidth="1"/>
    <col min="8200" max="8200" width="6.5703125" style="1" bestFit="1" customWidth="1"/>
    <col min="8201" max="8205" width="12.7109375" style="1" customWidth="1"/>
    <col min="8206" max="8450" width="16.5703125" style="1"/>
    <col min="8451" max="8451" width="16.5703125" style="1" customWidth="1"/>
    <col min="8452" max="8455" width="12.7109375" style="1" customWidth="1"/>
    <col min="8456" max="8456" width="6.5703125" style="1" bestFit="1" customWidth="1"/>
    <col min="8457" max="8461" width="12.7109375" style="1" customWidth="1"/>
    <col min="8462" max="8706" width="16.5703125" style="1"/>
    <col min="8707" max="8707" width="16.5703125" style="1" customWidth="1"/>
    <col min="8708" max="8711" width="12.7109375" style="1" customWidth="1"/>
    <col min="8712" max="8712" width="6.5703125" style="1" bestFit="1" customWidth="1"/>
    <col min="8713" max="8717" width="12.7109375" style="1" customWidth="1"/>
    <col min="8718" max="8962" width="16.5703125" style="1"/>
    <col min="8963" max="8963" width="16.5703125" style="1" customWidth="1"/>
    <col min="8964" max="8967" width="12.7109375" style="1" customWidth="1"/>
    <col min="8968" max="8968" width="6.5703125" style="1" bestFit="1" customWidth="1"/>
    <col min="8969" max="8973" width="12.7109375" style="1" customWidth="1"/>
    <col min="8974" max="9218" width="16.5703125" style="1"/>
    <col min="9219" max="9219" width="16.5703125" style="1" customWidth="1"/>
    <col min="9220" max="9223" width="12.7109375" style="1" customWidth="1"/>
    <col min="9224" max="9224" width="6.5703125" style="1" bestFit="1" customWidth="1"/>
    <col min="9225" max="9229" width="12.7109375" style="1" customWidth="1"/>
    <col min="9230" max="9474" width="16.5703125" style="1"/>
    <col min="9475" max="9475" width="16.5703125" style="1" customWidth="1"/>
    <col min="9476" max="9479" width="12.7109375" style="1" customWidth="1"/>
    <col min="9480" max="9480" width="6.5703125" style="1" bestFit="1" customWidth="1"/>
    <col min="9481" max="9485" width="12.7109375" style="1" customWidth="1"/>
    <col min="9486" max="9730" width="16.5703125" style="1"/>
    <col min="9731" max="9731" width="16.5703125" style="1" customWidth="1"/>
    <col min="9732" max="9735" width="12.7109375" style="1" customWidth="1"/>
    <col min="9736" max="9736" width="6.5703125" style="1" bestFit="1" customWidth="1"/>
    <col min="9737" max="9741" width="12.7109375" style="1" customWidth="1"/>
    <col min="9742" max="9986" width="16.5703125" style="1"/>
    <col min="9987" max="9987" width="16.5703125" style="1" customWidth="1"/>
    <col min="9988" max="9991" width="12.7109375" style="1" customWidth="1"/>
    <col min="9992" max="9992" width="6.5703125" style="1" bestFit="1" customWidth="1"/>
    <col min="9993" max="9997" width="12.7109375" style="1" customWidth="1"/>
    <col min="9998" max="10242" width="16.5703125" style="1"/>
    <col min="10243" max="10243" width="16.5703125" style="1" customWidth="1"/>
    <col min="10244" max="10247" width="12.7109375" style="1" customWidth="1"/>
    <col min="10248" max="10248" width="6.5703125" style="1" bestFit="1" customWidth="1"/>
    <col min="10249" max="10253" width="12.7109375" style="1" customWidth="1"/>
    <col min="10254" max="10498" width="16.5703125" style="1"/>
    <col min="10499" max="10499" width="16.5703125" style="1" customWidth="1"/>
    <col min="10500" max="10503" width="12.7109375" style="1" customWidth="1"/>
    <col min="10504" max="10504" width="6.5703125" style="1" bestFit="1" customWidth="1"/>
    <col min="10505" max="10509" width="12.7109375" style="1" customWidth="1"/>
    <col min="10510" max="10754" width="16.5703125" style="1"/>
    <col min="10755" max="10755" width="16.5703125" style="1" customWidth="1"/>
    <col min="10756" max="10759" width="12.7109375" style="1" customWidth="1"/>
    <col min="10760" max="10760" width="6.5703125" style="1" bestFit="1" customWidth="1"/>
    <col min="10761" max="10765" width="12.7109375" style="1" customWidth="1"/>
    <col min="10766" max="11010" width="16.5703125" style="1"/>
    <col min="11011" max="11011" width="16.5703125" style="1" customWidth="1"/>
    <col min="11012" max="11015" width="12.7109375" style="1" customWidth="1"/>
    <col min="11016" max="11016" width="6.5703125" style="1" bestFit="1" customWidth="1"/>
    <col min="11017" max="11021" width="12.7109375" style="1" customWidth="1"/>
    <col min="11022" max="11266" width="16.5703125" style="1"/>
    <col min="11267" max="11267" width="16.5703125" style="1" customWidth="1"/>
    <col min="11268" max="11271" width="12.7109375" style="1" customWidth="1"/>
    <col min="11272" max="11272" width="6.5703125" style="1" bestFit="1" customWidth="1"/>
    <col min="11273" max="11277" width="12.7109375" style="1" customWidth="1"/>
    <col min="11278" max="11522" width="16.5703125" style="1"/>
    <col min="11523" max="11523" width="16.5703125" style="1" customWidth="1"/>
    <col min="11524" max="11527" width="12.7109375" style="1" customWidth="1"/>
    <col min="11528" max="11528" width="6.5703125" style="1" bestFit="1" customWidth="1"/>
    <col min="11529" max="11533" width="12.7109375" style="1" customWidth="1"/>
    <col min="11534" max="11778" width="16.5703125" style="1"/>
    <col min="11779" max="11779" width="16.5703125" style="1" customWidth="1"/>
    <col min="11780" max="11783" width="12.7109375" style="1" customWidth="1"/>
    <col min="11784" max="11784" width="6.5703125" style="1" bestFit="1" customWidth="1"/>
    <col min="11785" max="11789" width="12.7109375" style="1" customWidth="1"/>
    <col min="11790" max="12034" width="16.5703125" style="1"/>
    <col min="12035" max="12035" width="16.5703125" style="1" customWidth="1"/>
    <col min="12036" max="12039" width="12.7109375" style="1" customWidth="1"/>
    <col min="12040" max="12040" width="6.5703125" style="1" bestFit="1" customWidth="1"/>
    <col min="12041" max="12045" width="12.7109375" style="1" customWidth="1"/>
    <col min="12046" max="12290" width="16.5703125" style="1"/>
    <col min="12291" max="12291" width="16.5703125" style="1" customWidth="1"/>
    <col min="12292" max="12295" width="12.7109375" style="1" customWidth="1"/>
    <col min="12296" max="12296" width="6.5703125" style="1" bestFit="1" customWidth="1"/>
    <col min="12297" max="12301" width="12.7109375" style="1" customWidth="1"/>
    <col min="12302" max="12546" width="16.5703125" style="1"/>
    <col min="12547" max="12547" width="16.5703125" style="1" customWidth="1"/>
    <col min="12548" max="12551" width="12.7109375" style="1" customWidth="1"/>
    <col min="12552" max="12552" width="6.5703125" style="1" bestFit="1" customWidth="1"/>
    <col min="12553" max="12557" width="12.7109375" style="1" customWidth="1"/>
    <col min="12558" max="12802" width="16.5703125" style="1"/>
    <col min="12803" max="12803" width="16.5703125" style="1" customWidth="1"/>
    <col min="12804" max="12807" width="12.7109375" style="1" customWidth="1"/>
    <col min="12808" max="12808" width="6.5703125" style="1" bestFit="1" customWidth="1"/>
    <col min="12809" max="12813" width="12.7109375" style="1" customWidth="1"/>
    <col min="12814" max="13058" width="16.5703125" style="1"/>
    <col min="13059" max="13059" width="16.5703125" style="1" customWidth="1"/>
    <col min="13060" max="13063" width="12.7109375" style="1" customWidth="1"/>
    <col min="13064" max="13064" width="6.5703125" style="1" bestFit="1" customWidth="1"/>
    <col min="13065" max="13069" width="12.7109375" style="1" customWidth="1"/>
    <col min="13070" max="13314" width="16.5703125" style="1"/>
    <col min="13315" max="13315" width="16.5703125" style="1" customWidth="1"/>
    <col min="13316" max="13319" width="12.7109375" style="1" customWidth="1"/>
    <col min="13320" max="13320" width="6.5703125" style="1" bestFit="1" customWidth="1"/>
    <col min="13321" max="13325" width="12.7109375" style="1" customWidth="1"/>
    <col min="13326" max="13570" width="16.5703125" style="1"/>
    <col min="13571" max="13571" width="16.5703125" style="1" customWidth="1"/>
    <col min="13572" max="13575" width="12.7109375" style="1" customWidth="1"/>
    <col min="13576" max="13576" width="6.5703125" style="1" bestFit="1" customWidth="1"/>
    <col min="13577" max="13581" width="12.7109375" style="1" customWidth="1"/>
    <col min="13582" max="13826" width="16.5703125" style="1"/>
    <col min="13827" max="13827" width="16.5703125" style="1" customWidth="1"/>
    <col min="13828" max="13831" width="12.7109375" style="1" customWidth="1"/>
    <col min="13832" max="13832" width="6.5703125" style="1" bestFit="1" customWidth="1"/>
    <col min="13833" max="13837" width="12.7109375" style="1" customWidth="1"/>
    <col min="13838" max="14082" width="16.5703125" style="1"/>
    <col min="14083" max="14083" width="16.5703125" style="1" customWidth="1"/>
    <col min="14084" max="14087" width="12.7109375" style="1" customWidth="1"/>
    <col min="14088" max="14088" width="6.5703125" style="1" bestFit="1" customWidth="1"/>
    <col min="14089" max="14093" width="12.7109375" style="1" customWidth="1"/>
    <col min="14094" max="14338" width="16.5703125" style="1"/>
    <col min="14339" max="14339" width="16.5703125" style="1" customWidth="1"/>
    <col min="14340" max="14343" width="12.7109375" style="1" customWidth="1"/>
    <col min="14344" max="14344" width="6.5703125" style="1" bestFit="1" customWidth="1"/>
    <col min="14345" max="14349" width="12.7109375" style="1" customWidth="1"/>
    <col min="14350" max="14594" width="16.5703125" style="1"/>
    <col min="14595" max="14595" width="16.5703125" style="1" customWidth="1"/>
    <col min="14596" max="14599" width="12.7109375" style="1" customWidth="1"/>
    <col min="14600" max="14600" width="6.5703125" style="1" bestFit="1" customWidth="1"/>
    <col min="14601" max="14605" width="12.7109375" style="1" customWidth="1"/>
    <col min="14606" max="14850" width="16.5703125" style="1"/>
    <col min="14851" max="14851" width="16.5703125" style="1" customWidth="1"/>
    <col min="14852" max="14855" width="12.7109375" style="1" customWidth="1"/>
    <col min="14856" max="14856" width="6.5703125" style="1" bestFit="1" customWidth="1"/>
    <col min="14857" max="14861" width="12.7109375" style="1" customWidth="1"/>
    <col min="14862" max="15106" width="16.5703125" style="1"/>
    <col min="15107" max="15107" width="16.5703125" style="1" customWidth="1"/>
    <col min="15108" max="15111" width="12.7109375" style="1" customWidth="1"/>
    <col min="15112" max="15112" width="6.5703125" style="1" bestFit="1" customWidth="1"/>
    <col min="15113" max="15117" width="12.7109375" style="1" customWidth="1"/>
    <col min="15118" max="15362" width="16.5703125" style="1"/>
    <col min="15363" max="15363" width="16.5703125" style="1" customWidth="1"/>
    <col min="15364" max="15367" width="12.7109375" style="1" customWidth="1"/>
    <col min="15368" max="15368" width="6.5703125" style="1" bestFit="1" customWidth="1"/>
    <col min="15369" max="15373" width="12.7109375" style="1" customWidth="1"/>
    <col min="15374" max="15618" width="16.5703125" style="1"/>
    <col min="15619" max="15619" width="16.5703125" style="1" customWidth="1"/>
    <col min="15620" max="15623" width="12.7109375" style="1" customWidth="1"/>
    <col min="15624" max="15624" width="6.5703125" style="1" bestFit="1" customWidth="1"/>
    <col min="15625" max="15629" width="12.7109375" style="1" customWidth="1"/>
    <col min="15630" max="15874" width="16.5703125" style="1"/>
    <col min="15875" max="15875" width="16.5703125" style="1" customWidth="1"/>
    <col min="15876" max="15879" width="12.7109375" style="1" customWidth="1"/>
    <col min="15880" max="15880" width="6.5703125" style="1" bestFit="1" customWidth="1"/>
    <col min="15881" max="15885" width="12.7109375" style="1" customWidth="1"/>
    <col min="15886" max="16130" width="16.5703125" style="1"/>
    <col min="16131" max="16131" width="16.5703125" style="1" customWidth="1"/>
    <col min="16132" max="16135" width="12.7109375" style="1" customWidth="1"/>
    <col min="16136" max="16136" width="6.5703125" style="1" bestFit="1" customWidth="1"/>
    <col min="16137" max="16141" width="12.7109375" style="1" customWidth="1"/>
    <col min="16142" max="16384" width="16.5703125" style="1"/>
  </cols>
  <sheetData>
    <row r="1" spans="1:18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235"/>
      <c r="N1" s="235"/>
      <c r="P1" s="186"/>
    </row>
    <row r="2" spans="1:18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86"/>
    </row>
    <row r="3" spans="1:18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235"/>
      <c r="N3" s="235"/>
      <c r="P3" s="186"/>
    </row>
    <row r="4" spans="1:18" x14ac:dyDescent="0.25">
      <c r="A4" s="3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P4" s="186"/>
    </row>
    <row r="5" spans="1:18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  <c r="P5" s="186"/>
    </row>
    <row r="6" spans="1:18" x14ac:dyDescent="0.25">
      <c r="A6" s="334" t="s">
        <v>54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P6" s="186"/>
    </row>
    <row r="7" spans="1:18" x14ac:dyDescent="0.25">
      <c r="A7" s="334" t="s">
        <v>141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P7" s="186"/>
    </row>
    <row r="8" spans="1:18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  <c r="P8" s="186"/>
    </row>
    <row r="9" spans="1:18" s="17" customForma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30"/>
      <c r="N9" s="30"/>
      <c r="O9" s="166"/>
      <c r="P9" s="187"/>
      <c r="Q9" s="142"/>
      <c r="R9" s="142"/>
    </row>
    <row r="10" spans="1:18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M10" s="30"/>
      <c r="N10" s="30"/>
      <c r="P10" s="186"/>
      <c r="Q10" s="151"/>
    </row>
    <row r="11" spans="1:18" s="17" customFormat="1" x14ac:dyDescent="0.25">
      <c r="A11" s="139" t="s">
        <v>18</v>
      </c>
      <c r="B11" s="14">
        <f>+C11</f>
        <v>9612781.1400000006</v>
      </c>
      <c r="C11" s="14">
        <f>9384318.46+228462.68</f>
        <v>9612781.1400000006</v>
      </c>
      <c r="D11" s="11">
        <v>0</v>
      </c>
      <c r="E11" s="14">
        <v>9317508.4000000004</v>
      </c>
      <c r="F11" s="14">
        <f>+E11/C11</f>
        <v>0.96928331814698943</v>
      </c>
      <c r="G11" s="14">
        <f>+C11+D11-E11</f>
        <v>295272.74000000022</v>
      </c>
      <c r="H11" s="11">
        <f>29716.54+308198.74+5000</f>
        <v>342915.27999999997</v>
      </c>
      <c r="I11" s="14">
        <f>301910.85+138960.66</f>
        <v>440871.51</v>
      </c>
      <c r="J11" s="14">
        <f>14720+473794.05</f>
        <v>488514.05</v>
      </c>
      <c r="K11" s="14">
        <f>H11+I11-J11</f>
        <v>295272.74000000005</v>
      </c>
      <c r="L11" s="15">
        <f>+F11</f>
        <v>0.96928331814698943</v>
      </c>
      <c r="M11" s="163"/>
      <c r="N11" s="163"/>
      <c r="O11" s="236">
        <f t="shared" ref="O11:O26" si="0">+K11-G11</f>
        <v>0</v>
      </c>
      <c r="P11" s="214"/>
      <c r="Q11" s="153"/>
      <c r="R11" s="142"/>
    </row>
    <row r="12" spans="1:18" x14ac:dyDescent="0.2">
      <c r="A12" s="139" t="s">
        <v>20</v>
      </c>
      <c r="B12" s="14">
        <v>30330208</v>
      </c>
      <c r="C12" s="11">
        <v>20591990.960000001</v>
      </c>
      <c r="D12" s="11">
        <v>0</v>
      </c>
      <c r="E12" s="14">
        <v>22124928.920000002</v>
      </c>
      <c r="F12" s="14">
        <f t="shared" ref="F12:F17" si="1">+E12/C12</f>
        <v>1.0744434068069346</v>
      </c>
      <c r="G12" s="14">
        <f t="shared" ref="G12:G20" si="2">+C12+D12-E12</f>
        <v>-1532937.9600000009</v>
      </c>
      <c r="H12" s="11">
        <f>30000+443928.15</f>
        <v>473928.15</v>
      </c>
      <c r="I12" s="14">
        <f>656054.09+37788.8</f>
        <v>693842.89</v>
      </c>
      <c r="J12" s="14">
        <f>515098+62764+2122847</f>
        <v>2700709</v>
      </c>
      <c r="K12" s="14">
        <f t="shared" ref="K12:K21" si="3">H12+I12-J12</f>
        <v>-1532937.96</v>
      </c>
      <c r="L12" s="15">
        <f t="shared" ref="L12:L23" si="4">+F12</f>
        <v>1.0744434068069346</v>
      </c>
      <c r="M12" s="163"/>
      <c r="N12" s="163"/>
      <c r="O12" s="236">
        <f t="shared" si="0"/>
        <v>0</v>
      </c>
      <c r="P12" s="211"/>
      <c r="Q12" s="151"/>
    </row>
    <row r="13" spans="1:18" x14ac:dyDescent="0.2">
      <c r="A13" s="139" t="s">
        <v>21</v>
      </c>
      <c r="B13" s="14">
        <v>281207</v>
      </c>
      <c r="C13" s="11">
        <v>315512.76</v>
      </c>
      <c r="D13" s="11">
        <v>0</v>
      </c>
      <c r="E13" s="11">
        <v>288833.74</v>
      </c>
      <c r="F13" s="14">
        <f t="shared" si="1"/>
        <v>0.91544234217341947</v>
      </c>
      <c r="G13" s="14">
        <f t="shared" si="2"/>
        <v>26679.020000000019</v>
      </c>
      <c r="H13" s="11">
        <v>26679.02</v>
      </c>
      <c r="I13" s="14">
        <v>0</v>
      </c>
      <c r="J13" s="14">
        <v>0</v>
      </c>
      <c r="K13" s="14">
        <f t="shared" si="3"/>
        <v>26679.02</v>
      </c>
      <c r="L13" s="15">
        <f t="shared" si="4"/>
        <v>0.91544234217341947</v>
      </c>
      <c r="M13" s="163"/>
      <c r="N13" s="163"/>
      <c r="O13" s="236">
        <f t="shared" si="0"/>
        <v>0</v>
      </c>
      <c r="P13" s="241"/>
    </row>
    <row r="14" spans="1:18" x14ac:dyDescent="0.2">
      <c r="A14" s="139" t="s">
        <v>22</v>
      </c>
      <c r="B14" s="14">
        <v>573761</v>
      </c>
      <c r="C14" s="11">
        <v>462626.42</v>
      </c>
      <c r="D14" s="11">
        <v>0</v>
      </c>
      <c r="E14" s="11">
        <v>333349.92</v>
      </c>
      <c r="F14" s="14">
        <f t="shared" si="1"/>
        <v>0.72055962562622344</v>
      </c>
      <c r="G14" s="14">
        <f t="shared" si="2"/>
        <v>129276.5</v>
      </c>
      <c r="H14" s="11">
        <v>129276.5</v>
      </c>
      <c r="I14" s="14">
        <v>0</v>
      </c>
      <c r="J14" s="14">
        <v>0</v>
      </c>
      <c r="K14" s="14">
        <f t="shared" si="3"/>
        <v>129276.5</v>
      </c>
      <c r="L14" s="15">
        <f t="shared" si="4"/>
        <v>0.72055962562622344</v>
      </c>
      <c r="M14" s="163"/>
      <c r="N14" s="163"/>
      <c r="O14" s="236">
        <f t="shared" si="0"/>
        <v>0</v>
      </c>
      <c r="P14" s="241"/>
    </row>
    <row r="15" spans="1:18" x14ac:dyDescent="0.2">
      <c r="A15" s="139" t="s">
        <v>23</v>
      </c>
      <c r="B15" s="14">
        <v>1398350</v>
      </c>
      <c r="C15" s="11">
        <v>1095960.81</v>
      </c>
      <c r="D15" s="11">
        <v>0</v>
      </c>
      <c r="E15" s="11">
        <v>553043.13</v>
      </c>
      <c r="F15" s="14">
        <f t="shared" si="1"/>
        <v>0.50461943981372837</v>
      </c>
      <c r="G15" s="14">
        <f t="shared" si="2"/>
        <v>542917.68000000005</v>
      </c>
      <c r="H15" s="11">
        <v>266908.27</v>
      </c>
      <c r="I15" s="14">
        <v>350000</v>
      </c>
      <c r="J15" s="14">
        <v>73990.59</v>
      </c>
      <c r="K15" s="14">
        <f t="shared" si="3"/>
        <v>542917.68000000005</v>
      </c>
      <c r="L15" s="15">
        <f t="shared" si="4"/>
        <v>0.50461943981372837</v>
      </c>
      <c r="M15" s="163" t="s">
        <v>140</v>
      </c>
      <c r="N15" s="163"/>
      <c r="O15" s="236">
        <f t="shared" si="0"/>
        <v>0</v>
      </c>
      <c r="P15" s="210"/>
    </row>
    <row r="16" spans="1:18" x14ac:dyDescent="0.2">
      <c r="A16" s="139" t="s">
        <v>24</v>
      </c>
      <c r="B16" s="14">
        <v>14692367</v>
      </c>
      <c r="C16" s="11">
        <v>12806197.699999999</v>
      </c>
      <c r="D16" s="11">
        <v>0</v>
      </c>
      <c r="E16" s="14">
        <v>12558894.720000001</v>
      </c>
      <c r="F16" s="14">
        <f t="shared" si="1"/>
        <v>0.98068880507756029</v>
      </c>
      <c r="G16" s="14">
        <f t="shared" si="2"/>
        <v>247302.97999999858</v>
      </c>
      <c r="H16" s="11">
        <v>773943.01</v>
      </c>
      <c r="I16" s="14">
        <f>200000+8000</f>
        <v>208000</v>
      </c>
      <c r="J16" s="14">
        <f>434551.03+298089+2000</f>
        <v>734640.03</v>
      </c>
      <c r="K16" s="14">
        <f t="shared" si="3"/>
        <v>247302.97999999998</v>
      </c>
      <c r="L16" s="15">
        <f t="shared" si="4"/>
        <v>0.98068880507756029</v>
      </c>
      <c r="M16" s="163"/>
      <c r="N16" s="163"/>
      <c r="O16" s="236">
        <f t="shared" si="0"/>
        <v>1.3969838619232178E-9</v>
      </c>
      <c r="P16" s="210"/>
      <c r="Q16" s="151"/>
    </row>
    <row r="17" spans="1:20" x14ac:dyDescent="0.2">
      <c r="A17" s="139" t="s">
        <v>25</v>
      </c>
      <c r="B17" s="14">
        <v>1081241</v>
      </c>
      <c r="C17" s="11">
        <v>1334521.47</v>
      </c>
      <c r="D17" s="11">
        <v>0</v>
      </c>
      <c r="E17" s="14">
        <v>792891.71</v>
      </c>
      <c r="F17" s="14">
        <f t="shared" si="1"/>
        <v>0.59413934344570718</v>
      </c>
      <c r="G17" s="14">
        <f t="shared" si="2"/>
        <v>541629.76</v>
      </c>
      <c r="H17" s="11">
        <v>489914.89</v>
      </c>
      <c r="I17" s="14">
        <v>51714.87</v>
      </c>
      <c r="J17" s="14">
        <v>0</v>
      </c>
      <c r="K17" s="14">
        <f t="shared" si="3"/>
        <v>541629.76</v>
      </c>
      <c r="L17" s="15">
        <f t="shared" si="4"/>
        <v>0.59413934344570718</v>
      </c>
      <c r="M17" s="163"/>
      <c r="N17" s="163"/>
      <c r="O17" s="236">
        <f t="shared" si="0"/>
        <v>0</v>
      </c>
      <c r="P17" s="210"/>
    </row>
    <row r="18" spans="1:20" x14ac:dyDescent="0.2">
      <c r="A18" s="139" t="s">
        <v>53</v>
      </c>
      <c r="B18" s="14">
        <v>688065.66</v>
      </c>
      <c r="C18" s="11">
        <v>814178.63</v>
      </c>
      <c r="D18" s="11">
        <v>0</v>
      </c>
      <c r="E18" s="11">
        <v>633643.92000000004</v>
      </c>
      <c r="F18" s="14">
        <v>0</v>
      </c>
      <c r="G18" s="14">
        <f t="shared" si="2"/>
        <v>180534.70999999996</v>
      </c>
      <c r="H18" s="11">
        <v>121374.71</v>
      </c>
      <c r="I18" s="14">
        <v>59160</v>
      </c>
      <c r="J18" s="14">
        <v>0</v>
      </c>
      <c r="K18" s="14">
        <f t="shared" si="3"/>
        <v>180534.71000000002</v>
      </c>
      <c r="L18" s="15">
        <f t="shared" si="4"/>
        <v>0</v>
      </c>
      <c r="M18" s="163"/>
      <c r="N18" s="163"/>
      <c r="O18" s="236">
        <f t="shared" si="0"/>
        <v>0</v>
      </c>
      <c r="P18" s="210"/>
    </row>
    <row r="19" spans="1:20" x14ac:dyDescent="0.2">
      <c r="A19" s="139" t="s">
        <v>27</v>
      </c>
      <c r="B19" s="14">
        <v>0</v>
      </c>
      <c r="C19" s="11">
        <v>0</v>
      </c>
      <c r="D19" s="11">
        <v>0</v>
      </c>
      <c r="E19" s="11">
        <v>0</v>
      </c>
      <c r="F19" s="14">
        <v>0</v>
      </c>
      <c r="G19" s="14">
        <f t="shared" si="2"/>
        <v>0</v>
      </c>
      <c r="H19" s="11">
        <v>0</v>
      </c>
      <c r="I19" s="14">
        <v>0</v>
      </c>
      <c r="J19" s="14">
        <v>0</v>
      </c>
      <c r="K19" s="14">
        <f t="shared" si="3"/>
        <v>0</v>
      </c>
      <c r="L19" s="15">
        <f t="shared" si="4"/>
        <v>0</v>
      </c>
      <c r="M19" s="163"/>
      <c r="N19" s="163"/>
      <c r="O19" s="236">
        <f t="shared" si="0"/>
        <v>0</v>
      </c>
      <c r="P19" s="210"/>
    </row>
    <row r="20" spans="1:20" x14ac:dyDescent="0.2">
      <c r="A20" s="139" t="s">
        <v>28</v>
      </c>
      <c r="B20" s="14">
        <v>60011</v>
      </c>
      <c r="C20" s="11">
        <v>50009.73</v>
      </c>
      <c r="D20" s="11">
        <v>0</v>
      </c>
      <c r="E20" s="11">
        <v>0</v>
      </c>
      <c r="F20" s="14">
        <v>0</v>
      </c>
      <c r="G20" s="14">
        <f t="shared" si="2"/>
        <v>50009.73</v>
      </c>
      <c r="H20" s="11">
        <v>50009.73</v>
      </c>
      <c r="I20" s="14">
        <v>0</v>
      </c>
      <c r="J20" s="14">
        <v>0</v>
      </c>
      <c r="K20" s="14">
        <f t="shared" si="3"/>
        <v>50009.73</v>
      </c>
      <c r="L20" s="15">
        <f t="shared" si="4"/>
        <v>0</v>
      </c>
      <c r="M20" s="163"/>
      <c r="N20" s="163"/>
      <c r="O20" s="236">
        <f t="shared" si="0"/>
        <v>0</v>
      </c>
      <c r="P20" s="212"/>
    </row>
    <row r="21" spans="1:20" ht="27" x14ac:dyDescent="0.2">
      <c r="A21" s="139" t="s">
        <v>136</v>
      </c>
      <c r="B21" s="14">
        <v>506205</v>
      </c>
      <c r="C21" s="11">
        <v>2006205</v>
      </c>
      <c r="D21" s="11">
        <v>411.81</v>
      </c>
      <c r="E21" s="11">
        <v>127201.25</v>
      </c>
      <c r="F21" s="14"/>
      <c r="G21" s="14">
        <f t="shared" ref="G21:G26" si="5">+C21+D21-E21</f>
        <v>1879415.56</v>
      </c>
      <c r="H21" s="11">
        <v>456273.56</v>
      </c>
      <c r="I21" s="14">
        <v>1428142</v>
      </c>
      <c r="J21" s="14">
        <v>5000</v>
      </c>
      <c r="K21" s="14">
        <f t="shared" si="3"/>
        <v>1879415.56</v>
      </c>
      <c r="L21" s="15">
        <f t="shared" si="4"/>
        <v>0</v>
      </c>
      <c r="M21" s="163"/>
      <c r="N21" s="163"/>
      <c r="O21" s="236">
        <f t="shared" si="0"/>
        <v>0</v>
      </c>
      <c r="P21" s="212"/>
    </row>
    <row r="22" spans="1:20" x14ac:dyDescent="0.2">
      <c r="A22" s="139" t="s">
        <v>29</v>
      </c>
      <c r="B22" s="14">
        <v>2935059</v>
      </c>
      <c r="C22" s="11">
        <v>29358059</v>
      </c>
      <c r="D22" s="11">
        <v>52639.14</v>
      </c>
      <c r="E22" s="11">
        <v>0</v>
      </c>
      <c r="F22" s="14">
        <f>+E22/C22</f>
        <v>0</v>
      </c>
      <c r="G22" s="14">
        <f t="shared" si="5"/>
        <v>29410698.140000001</v>
      </c>
      <c r="H22" s="11">
        <f>2866019.62+24235746.84</f>
        <v>27101766.460000001</v>
      </c>
      <c r="I22" s="14">
        <v>2308931.6800000002</v>
      </c>
      <c r="J22" s="14">
        <v>0</v>
      </c>
      <c r="K22" s="14">
        <f>H22+I22-J22</f>
        <v>29410698.140000001</v>
      </c>
      <c r="L22" s="15">
        <f t="shared" si="4"/>
        <v>0</v>
      </c>
      <c r="M22" s="163"/>
      <c r="N22" s="163"/>
      <c r="O22" s="236">
        <f t="shared" si="0"/>
        <v>0</v>
      </c>
      <c r="P22" s="212"/>
    </row>
    <row r="23" spans="1:20" x14ac:dyDescent="0.2">
      <c r="A23" s="139" t="s">
        <v>30</v>
      </c>
      <c r="B23" s="14">
        <v>22883119</v>
      </c>
      <c r="C23" s="11">
        <v>19222579.699999999</v>
      </c>
      <c r="D23" s="11">
        <v>0</v>
      </c>
      <c r="E23" s="14">
        <v>18692902.800000001</v>
      </c>
      <c r="F23" s="14">
        <f>+E23/C23</f>
        <v>0.97244506677737963</v>
      </c>
      <c r="G23" s="14">
        <f t="shared" si="5"/>
        <v>529676.89999999851</v>
      </c>
      <c r="H23" s="11">
        <v>1434217.54</v>
      </c>
      <c r="I23" s="14">
        <f>74634.39+44114</f>
        <v>118748.39</v>
      </c>
      <c r="J23" s="14">
        <f>95482+927807.03</f>
        <v>1023289.03</v>
      </c>
      <c r="K23" s="14">
        <f>H23+I23-J23</f>
        <v>529676.89999999991</v>
      </c>
      <c r="L23" s="15">
        <f t="shared" si="4"/>
        <v>0.97244506677737963</v>
      </c>
      <c r="M23" s="163"/>
      <c r="N23" s="163"/>
      <c r="O23" s="242">
        <f t="shared" si="0"/>
        <v>1.3969838619232178E-9</v>
      </c>
      <c r="P23" s="213"/>
      <c r="S23" s="141"/>
      <c r="T23" s="144"/>
    </row>
    <row r="24" spans="1:20" x14ac:dyDescent="0.2">
      <c r="A24" s="139" t="s">
        <v>57</v>
      </c>
      <c r="B24" s="11">
        <v>1483495.05</v>
      </c>
      <c r="C24" s="11">
        <v>1483495.05</v>
      </c>
      <c r="D24" s="11">
        <v>4226.6499999999996</v>
      </c>
      <c r="E24" s="14">
        <v>0</v>
      </c>
      <c r="F24" s="14">
        <f>+E24/C24</f>
        <v>0</v>
      </c>
      <c r="G24" s="14">
        <f t="shared" si="5"/>
        <v>1487721.7</v>
      </c>
      <c r="H24" s="11">
        <v>31215.49</v>
      </c>
      <c r="I24" s="14">
        <v>1461506.21</v>
      </c>
      <c r="J24" s="14">
        <v>5000</v>
      </c>
      <c r="K24" s="14">
        <f>H24+I24-J24</f>
        <v>1487721.7</v>
      </c>
      <c r="L24" s="15">
        <f>+F24</f>
        <v>0</v>
      </c>
      <c r="M24" s="163"/>
      <c r="N24" s="163"/>
      <c r="O24" s="242">
        <f t="shared" si="0"/>
        <v>0</v>
      </c>
      <c r="P24" s="213"/>
      <c r="S24" s="141"/>
      <c r="T24" s="144"/>
    </row>
    <row r="25" spans="1:20" x14ac:dyDescent="0.2">
      <c r="A25" s="139" t="s">
        <v>139</v>
      </c>
      <c r="B25" s="14">
        <v>1364024.1</v>
      </c>
      <c r="C25" s="14">
        <v>1364024.1</v>
      </c>
      <c r="D25" s="11">
        <v>940.83</v>
      </c>
      <c r="E25" s="14">
        <v>0</v>
      </c>
      <c r="F25" s="14">
        <f>+E25/C25</f>
        <v>0</v>
      </c>
      <c r="G25" s="14">
        <f t="shared" si="5"/>
        <v>1364964.9300000002</v>
      </c>
      <c r="H25" s="11">
        <v>1369964.93</v>
      </c>
      <c r="I25" s="14">
        <v>0</v>
      </c>
      <c r="J25" s="14">
        <v>5000</v>
      </c>
      <c r="K25" s="14">
        <f>H25+I25-J25</f>
        <v>1364964.93</v>
      </c>
      <c r="L25" s="15">
        <f>+F25</f>
        <v>0</v>
      </c>
      <c r="M25" s="163"/>
      <c r="N25" s="163"/>
      <c r="O25" s="242">
        <f t="shared" si="0"/>
        <v>0</v>
      </c>
      <c r="P25" s="213"/>
      <c r="S25" s="141"/>
      <c r="T25" s="144"/>
    </row>
    <row r="26" spans="1:20" ht="40.5" x14ac:dyDescent="0.2">
      <c r="A26" s="139" t="s">
        <v>135</v>
      </c>
      <c r="B26" s="14">
        <f>+C26</f>
        <v>200000</v>
      </c>
      <c r="C26" s="11">
        <v>200000</v>
      </c>
      <c r="D26" s="11">
        <v>237.32</v>
      </c>
      <c r="E26" s="14">
        <v>52000</v>
      </c>
      <c r="F26" s="14">
        <f>+E26/C26</f>
        <v>0.26</v>
      </c>
      <c r="G26" s="14">
        <f t="shared" si="5"/>
        <v>148237.32</v>
      </c>
      <c r="H26" s="11">
        <v>148123.79999999999</v>
      </c>
      <c r="I26" s="14">
        <f>180000+5000</f>
        <v>185000</v>
      </c>
      <c r="J26" s="14">
        <f>102106.79+5000+77779.69</f>
        <v>184886.47999999998</v>
      </c>
      <c r="K26" s="14">
        <f>H26+I26-J26</f>
        <v>148237.32</v>
      </c>
      <c r="L26" s="15">
        <f>+F26</f>
        <v>0.26</v>
      </c>
      <c r="M26" s="163"/>
      <c r="N26" s="163"/>
      <c r="O26" s="242">
        <f t="shared" si="0"/>
        <v>0</v>
      </c>
      <c r="P26" s="213"/>
      <c r="S26" s="141"/>
      <c r="T26" s="144"/>
    </row>
    <row r="27" spans="1:20" s="5" customFormat="1" x14ac:dyDescent="0.2">
      <c r="A27" s="20" t="s">
        <v>60</v>
      </c>
      <c r="B27" s="21">
        <f t="shared" ref="B27:K27" si="6">SUM(B11:B26)</f>
        <v>88089893.949999988</v>
      </c>
      <c r="C27" s="21">
        <f t="shared" si="6"/>
        <v>100718142.47</v>
      </c>
      <c r="D27" s="21">
        <f t="shared" si="6"/>
        <v>58455.75</v>
      </c>
      <c r="E27" s="21">
        <f t="shared" si="6"/>
        <v>65475198.510000005</v>
      </c>
      <c r="F27" s="21">
        <f t="shared" si="6"/>
        <v>6.9916213478679419</v>
      </c>
      <c r="G27" s="21">
        <f t="shared" si="6"/>
        <v>35301399.710000001</v>
      </c>
      <c r="H27" s="21">
        <f t="shared" si="6"/>
        <v>33216511.34</v>
      </c>
      <c r="I27" s="21">
        <f t="shared" si="6"/>
        <v>7305917.5499999998</v>
      </c>
      <c r="J27" s="21">
        <f t="shared" si="6"/>
        <v>5221029.18</v>
      </c>
      <c r="K27" s="21">
        <f t="shared" si="6"/>
        <v>35301399.710000001</v>
      </c>
      <c r="L27" s="23"/>
      <c r="M27" s="164"/>
      <c r="N27" s="164"/>
      <c r="O27" s="118">
        <f>SUM(O11:O26)</f>
        <v>2.7939677238464355E-9</v>
      </c>
      <c r="P27" s="203"/>
      <c r="Q27" s="143"/>
      <c r="R27" s="143"/>
    </row>
    <row r="28" spans="1:20" s="17" customFormat="1" x14ac:dyDescent="0.25">
      <c r="A28" s="139" t="s">
        <v>18</v>
      </c>
      <c r="B28" s="10">
        <v>9668787.5</v>
      </c>
      <c r="C28" s="10">
        <f>+B28-8808992.11</f>
        <v>859795.3900000006</v>
      </c>
      <c r="D28" s="11">
        <v>0</v>
      </c>
      <c r="E28" s="10">
        <v>126202.22</v>
      </c>
      <c r="F28" s="12">
        <f>+E28/C28</f>
        <v>0.14678168953662327</v>
      </c>
      <c r="G28" s="109">
        <f t="shared" ref="G28:G41" si="7">+C28+D28-E28</f>
        <v>733593.17000000062</v>
      </c>
      <c r="H28" s="11">
        <v>760336.44</v>
      </c>
      <c r="I28" s="14">
        <f>35750.7+49054.32+10000+17400</f>
        <v>112205.01999999999</v>
      </c>
      <c r="J28" s="14">
        <f>42293+3275.91+3277.52+90101.86</f>
        <v>138948.29</v>
      </c>
      <c r="K28" s="14">
        <f>H28+I28-J28</f>
        <v>733593.16999999993</v>
      </c>
      <c r="L28" s="15">
        <f>+F28</f>
        <v>0.14678168953662327</v>
      </c>
      <c r="M28" s="163"/>
      <c r="N28" s="163"/>
      <c r="O28" s="62">
        <f t="shared" ref="O28:O41" si="8">+K28-G28</f>
        <v>0</v>
      </c>
      <c r="P28" s="188"/>
      <c r="Q28" s="153"/>
      <c r="R28" s="142"/>
    </row>
    <row r="29" spans="1:20" x14ac:dyDescent="0.2">
      <c r="A29" s="139" t="s">
        <v>20</v>
      </c>
      <c r="B29" s="10">
        <v>27138333.23</v>
      </c>
      <c r="C29" s="10">
        <f>+B29-26415966.23</f>
        <v>722367</v>
      </c>
      <c r="D29" s="11">
        <v>0</v>
      </c>
      <c r="E29" s="10">
        <v>827988.6</v>
      </c>
      <c r="F29" s="12">
        <f t="shared" ref="F29:F34" si="9">+E29/C29</f>
        <v>1.1462159816270676</v>
      </c>
      <c r="G29" s="10">
        <f t="shared" si="7"/>
        <v>-105621.59999999998</v>
      </c>
      <c r="H29" s="13">
        <v>1247074.73</v>
      </c>
      <c r="I29" s="14">
        <f>171846+1000</f>
        <v>172846</v>
      </c>
      <c r="J29" s="14">
        <f>1307677+16708.93+21550.06+179606.34</f>
        <v>1525542.33</v>
      </c>
      <c r="K29" s="14">
        <f t="shared" ref="K29:K36" si="10">H29+I29-J29</f>
        <v>-105621.60000000009</v>
      </c>
      <c r="L29" s="15">
        <f t="shared" ref="L29:L41" si="11">+F29</f>
        <v>1.1462159816270676</v>
      </c>
      <c r="M29" s="163"/>
      <c r="N29" s="163"/>
      <c r="O29" s="62">
        <f t="shared" si="8"/>
        <v>-1.1641532182693481E-10</v>
      </c>
      <c r="P29" s="184"/>
      <c r="Q29" s="151"/>
    </row>
    <row r="30" spans="1:20" x14ac:dyDescent="0.2">
      <c r="A30" s="139" t="s">
        <v>21</v>
      </c>
      <c r="B30" s="10">
        <v>321506.03999999998</v>
      </c>
      <c r="C30" s="10">
        <f>+B30-280892.37</f>
        <v>40613.669999999984</v>
      </c>
      <c r="D30" s="11">
        <v>0</v>
      </c>
      <c r="E30" s="11">
        <v>40613.67</v>
      </c>
      <c r="F30" s="12">
        <f t="shared" si="9"/>
        <v>1.0000000000000004</v>
      </c>
      <c r="G30" s="109">
        <f t="shared" si="7"/>
        <v>0</v>
      </c>
      <c r="H30" s="13">
        <v>0</v>
      </c>
      <c r="I30" s="14">
        <v>0</v>
      </c>
      <c r="J30" s="14">
        <v>0</v>
      </c>
      <c r="K30" s="14">
        <f t="shared" si="10"/>
        <v>0</v>
      </c>
      <c r="L30" s="15">
        <f t="shared" si="11"/>
        <v>1.0000000000000004</v>
      </c>
      <c r="M30" s="163"/>
      <c r="N30" s="163"/>
      <c r="O30" s="62">
        <f t="shared" si="8"/>
        <v>0</v>
      </c>
      <c r="P30" s="183"/>
    </row>
    <row r="31" spans="1:20" x14ac:dyDescent="0.2">
      <c r="A31" s="139" t="s">
        <v>22</v>
      </c>
      <c r="B31" s="10">
        <v>570803.89</v>
      </c>
      <c r="C31" s="10">
        <f>+B31-491970.23</f>
        <v>78833.660000000033</v>
      </c>
      <c r="D31" s="11">
        <v>0</v>
      </c>
      <c r="E31" s="11">
        <v>78833.66</v>
      </c>
      <c r="F31" s="12">
        <f t="shared" si="9"/>
        <v>0.99999999999999967</v>
      </c>
      <c r="G31" s="109">
        <f t="shared" si="7"/>
        <v>0</v>
      </c>
      <c r="H31" s="13">
        <v>0</v>
      </c>
      <c r="I31" s="14">
        <v>0</v>
      </c>
      <c r="J31" s="14">
        <v>0</v>
      </c>
      <c r="K31" s="14">
        <f t="shared" si="10"/>
        <v>0</v>
      </c>
      <c r="L31" s="15">
        <f t="shared" si="11"/>
        <v>0.99999999999999967</v>
      </c>
      <c r="M31" s="163"/>
      <c r="N31" s="163"/>
      <c r="O31" s="62">
        <f t="shared" si="8"/>
        <v>0</v>
      </c>
      <c r="P31" s="183"/>
    </row>
    <row r="32" spans="1:20" x14ac:dyDescent="0.2">
      <c r="A32" s="139" t="s">
        <v>23</v>
      </c>
      <c r="B32" s="10">
        <v>1307693.44</v>
      </c>
      <c r="C32" s="10">
        <f>+B32-1273287.15</f>
        <v>34406.290000000037</v>
      </c>
      <c r="D32" s="11">
        <v>0</v>
      </c>
      <c r="E32" s="11">
        <v>34406.29</v>
      </c>
      <c r="F32" s="12">
        <f t="shared" si="9"/>
        <v>0.99999999999999889</v>
      </c>
      <c r="G32" s="109">
        <f t="shared" si="7"/>
        <v>0</v>
      </c>
      <c r="H32" s="13">
        <v>0</v>
      </c>
      <c r="I32" s="14">
        <v>0</v>
      </c>
      <c r="J32" s="14">
        <v>0</v>
      </c>
      <c r="K32" s="14">
        <f t="shared" si="10"/>
        <v>0</v>
      </c>
      <c r="L32" s="15">
        <f t="shared" si="11"/>
        <v>0.99999999999999889</v>
      </c>
      <c r="M32" s="163"/>
      <c r="N32" s="163"/>
      <c r="O32" s="62">
        <f t="shared" si="8"/>
        <v>0</v>
      </c>
      <c r="P32" s="183"/>
    </row>
    <row r="33" spans="1:20" x14ac:dyDescent="0.2">
      <c r="A33" s="139" t="s">
        <v>24</v>
      </c>
      <c r="B33" s="10">
        <v>14234360.859999999</v>
      </c>
      <c r="C33" s="10">
        <f>+B33-14197791.76</f>
        <v>36569.099999999627</v>
      </c>
      <c r="D33" s="11">
        <v>0</v>
      </c>
      <c r="E33" s="10">
        <v>208.8</v>
      </c>
      <c r="F33" s="12">
        <f t="shared" si="9"/>
        <v>5.7097385497592813E-3</v>
      </c>
      <c r="G33" s="109">
        <f t="shared" si="7"/>
        <v>36360.299999999625</v>
      </c>
      <c r="H33" s="13">
        <v>-340080.7</v>
      </c>
      <c r="I33" s="14">
        <v>782752</v>
      </c>
      <c r="J33" s="14">
        <f>280823+125488</f>
        <v>406311</v>
      </c>
      <c r="K33" s="14">
        <f t="shared" si="10"/>
        <v>36360.299999999988</v>
      </c>
      <c r="L33" s="15">
        <f t="shared" si="11"/>
        <v>5.7097385497592813E-3</v>
      </c>
      <c r="M33" s="163"/>
      <c r="N33" s="163"/>
      <c r="O33" s="62">
        <f t="shared" si="8"/>
        <v>3.637978807091713E-10</v>
      </c>
      <c r="P33" s="183"/>
      <c r="Q33" s="151"/>
    </row>
    <row r="34" spans="1:20" x14ac:dyDescent="0.2">
      <c r="A34" s="139" t="s">
        <v>25</v>
      </c>
      <c r="B34" s="10">
        <v>658261.61</v>
      </c>
      <c r="C34" s="10">
        <f>+B34-367499.68</f>
        <v>290761.93</v>
      </c>
      <c r="D34" s="11">
        <v>0</v>
      </c>
      <c r="E34" s="10">
        <v>281389.86</v>
      </c>
      <c r="F34" s="12">
        <f t="shared" si="9"/>
        <v>0.96776720391146109</v>
      </c>
      <c r="G34" s="109">
        <f t="shared" si="7"/>
        <v>9372.070000000007</v>
      </c>
      <c r="H34" s="13">
        <v>56340.94</v>
      </c>
      <c r="I34" s="14">
        <v>0</v>
      </c>
      <c r="J34" s="14">
        <v>46968.87</v>
      </c>
      <c r="K34" s="14">
        <f t="shared" si="10"/>
        <v>9372.07</v>
      </c>
      <c r="L34" s="15">
        <f t="shared" si="11"/>
        <v>0.96776720391146109</v>
      </c>
      <c r="M34" s="163"/>
      <c r="N34" s="163"/>
      <c r="O34" s="62">
        <f t="shared" si="8"/>
        <v>0</v>
      </c>
      <c r="P34" s="183"/>
    </row>
    <row r="35" spans="1:20" x14ac:dyDescent="0.2">
      <c r="A35" s="139" t="s">
        <v>53</v>
      </c>
      <c r="B35" s="10">
        <v>158979.12</v>
      </c>
      <c r="C35" s="10">
        <f>+B35</f>
        <v>158979.12</v>
      </c>
      <c r="D35" s="11">
        <v>0</v>
      </c>
      <c r="E35" s="11">
        <v>120000</v>
      </c>
      <c r="F35" s="12">
        <v>0</v>
      </c>
      <c r="G35" s="201">
        <f t="shared" si="7"/>
        <v>38979.119999999995</v>
      </c>
      <c r="H35" s="11">
        <v>43979.12</v>
      </c>
      <c r="I35" s="14">
        <v>0</v>
      </c>
      <c r="J35" s="14">
        <v>5000</v>
      </c>
      <c r="K35" s="14">
        <f t="shared" si="10"/>
        <v>38979.120000000003</v>
      </c>
      <c r="L35" s="15">
        <f t="shared" si="11"/>
        <v>0</v>
      </c>
      <c r="M35" s="163"/>
      <c r="N35" s="163"/>
      <c r="O35" s="62">
        <f t="shared" si="8"/>
        <v>0</v>
      </c>
      <c r="P35" s="183"/>
    </row>
    <row r="36" spans="1:20" x14ac:dyDescent="0.2">
      <c r="A36" s="139" t="s">
        <v>28</v>
      </c>
      <c r="B36" s="10">
        <v>47798.07</v>
      </c>
      <c r="C36" s="10">
        <f>+B36-23516.14</f>
        <v>24281.93</v>
      </c>
      <c r="D36" s="11">
        <v>0</v>
      </c>
      <c r="E36" s="11">
        <v>0</v>
      </c>
      <c r="F36" s="12">
        <v>0</v>
      </c>
      <c r="G36" s="201">
        <f t="shared" si="7"/>
        <v>24281.93</v>
      </c>
      <c r="H36" s="11">
        <v>24281.93</v>
      </c>
      <c r="I36" s="14">
        <v>0</v>
      </c>
      <c r="J36" s="14">
        <v>0</v>
      </c>
      <c r="K36" s="14">
        <f t="shared" si="10"/>
        <v>24281.93</v>
      </c>
      <c r="L36" s="15">
        <f t="shared" si="11"/>
        <v>0</v>
      </c>
      <c r="M36" s="163"/>
      <c r="N36" s="163"/>
      <c r="O36" s="62">
        <f t="shared" si="8"/>
        <v>0</v>
      </c>
      <c r="P36" s="152"/>
    </row>
    <row r="37" spans="1:20" x14ac:dyDescent="0.2">
      <c r="A37" s="139" t="s">
        <v>29</v>
      </c>
      <c r="B37" s="10">
        <v>27972730</v>
      </c>
      <c r="C37" s="10">
        <f>+B37-27809818.06</f>
        <v>162911.94000000134</v>
      </c>
      <c r="D37" s="11">
        <v>186451.15</v>
      </c>
      <c r="E37" s="11">
        <v>0</v>
      </c>
      <c r="F37" s="12">
        <f>+E37/C37</f>
        <v>0</v>
      </c>
      <c r="G37" s="109">
        <f t="shared" si="7"/>
        <v>349363.09000000136</v>
      </c>
      <c r="H37" s="13">
        <v>656033.13</v>
      </c>
      <c r="I37" s="14">
        <f>-1</f>
        <v>-1</v>
      </c>
      <c r="J37" s="14">
        <f>219666.96+67322.53+19679.55</f>
        <v>306669.03999999998</v>
      </c>
      <c r="K37" s="14">
        <f>H37+I37-J37</f>
        <v>349363.09</v>
      </c>
      <c r="L37" s="15">
        <f t="shared" si="11"/>
        <v>0</v>
      </c>
      <c r="M37" s="163"/>
      <c r="N37" s="163"/>
      <c r="O37" s="62">
        <f t="shared" si="8"/>
        <v>-1.3387762010097504E-9</v>
      </c>
      <c r="P37" s="184"/>
    </row>
    <row r="38" spans="1:20" x14ac:dyDescent="0.2">
      <c r="A38" s="139" t="s">
        <v>30</v>
      </c>
      <c r="B38" s="10">
        <v>21170988.52</v>
      </c>
      <c r="C38" s="10">
        <f>+B38-21163370.79</f>
        <v>7617.730000000447</v>
      </c>
      <c r="D38" s="11">
        <v>0</v>
      </c>
      <c r="E38" s="10">
        <v>0</v>
      </c>
      <c r="F38" s="12">
        <f>+E38/C38</f>
        <v>0</v>
      </c>
      <c r="G38" s="109">
        <f t="shared" si="7"/>
        <v>7617.730000000447</v>
      </c>
      <c r="H38" s="13">
        <v>113156.96</v>
      </c>
      <c r="I38" s="14">
        <f>63664.06+25043.71</f>
        <v>88707.76999999999</v>
      </c>
      <c r="J38" s="14">
        <f>170257+6000+17990</f>
        <v>194247</v>
      </c>
      <c r="K38" s="14">
        <f>H38+I38-J38</f>
        <v>7617.7299999999814</v>
      </c>
      <c r="L38" s="15">
        <f t="shared" si="11"/>
        <v>0</v>
      </c>
      <c r="M38" s="163"/>
      <c r="N38" s="163"/>
      <c r="O38" s="107">
        <f t="shared" si="8"/>
        <v>-4.6566128730773926E-10</v>
      </c>
      <c r="P38" s="185"/>
      <c r="S38" s="141"/>
      <c r="T38" s="144"/>
    </row>
    <row r="39" spans="1:20" ht="27" x14ac:dyDescent="0.2">
      <c r="A39" s="139" t="s">
        <v>56</v>
      </c>
      <c r="B39" s="10">
        <v>1500000</v>
      </c>
      <c r="C39" s="10">
        <f>1500000-1499965.2</f>
        <v>34.800000000046566</v>
      </c>
      <c r="D39" s="11">
        <v>0</v>
      </c>
      <c r="E39" s="10">
        <v>0</v>
      </c>
      <c r="F39" s="12">
        <f>+E39/C39</f>
        <v>0</v>
      </c>
      <c r="G39" s="109">
        <f t="shared" si="7"/>
        <v>34.800000000046566</v>
      </c>
      <c r="H39" s="13">
        <v>34.799999999999997</v>
      </c>
      <c r="I39" s="14">
        <v>0</v>
      </c>
      <c r="J39" s="14">
        <v>0</v>
      </c>
      <c r="K39" s="14">
        <f>H39+I39-J39</f>
        <v>34.799999999999997</v>
      </c>
      <c r="L39" s="15">
        <f t="shared" si="11"/>
        <v>0</v>
      </c>
      <c r="M39" s="163"/>
      <c r="N39" s="163"/>
      <c r="O39" s="107">
        <f t="shared" si="8"/>
        <v>-4.6568970901716966E-11</v>
      </c>
      <c r="P39" s="185"/>
      <c r="S39" s="141"/>
      <c r="T39" s="144"/>
    </row>
    <row r="40" spans="1:20" x14ac:dyDescent="0.2">
      <c r="A40" s="139" t="s">
        <v>58</v>
      </c>
      <c r="B40" s="10">
        <v>8800000</v>
      </c>
      <c r="C40" s="10">
        <f>+B40-8793327.97</f>
        <v>6672.0299999993294</v>
      </c>
      <c r="D40" s="11">
        <v>0</v>
      </c>
      <c r="E40" s="10">
        <v>0</v>
      </c>
      <c r="F40" s="12">
        <f>+E40/C40</f>
        <v>0</v>
      </c>
      <c r="G40" s="109">
        <f t="shared" si="7"/>
        <v>6672.0299999993294</v>
      </c>
      <c r="H40" s="13">
        <v>136749.53</v>
      </c>
      <c r="I40" s="14">
        <v>0</v>
      </c>
      <c r="J40" s="14">
        <f>75804.55+37902.27+11370.68+5000</f>
        <v>130077.5</v>
      </c>
      <c r="K40" s="14">
        <f>H40+I40-J40</f>
        <v>6672.0299999999988</v>
      </c>
      <c r="L40" s="15">
        <f t="shared" si="11"/>
        <v>0</v>
      </c>
      <c r="M40" s="163"/>
      <c r="N40" s="163"/>
      <c r="O40" s="107">
        <f t="shared" si="8"/>
        <v>6.6938810050487518E-10</v>
      </c>
      <c r="P40" s="185"/>
      <c r="S40" s="141"/>
      <c r="T40" s="144"/>
    </row>
    <row r="41" spans="1:20" x14ac:dyDescent="0.2">
      <c r="A41" s="139" t="s">
        <v>57</v>
      </c>
      <c r="B41" s="10">
        <v>3362600</v>
      </c>
      <c r="C41" s="10">
        <f>+B41-3361389.36</f>
        <v>1210.6400000001304</v>
      </c>
      <c r="D41" s="11">
        <v>0</v>
      </c>
      <c r="E41" s="10">
        <v>0</v>
      </c>
      <c r="F41" s="12">
        <f>+E41/C41</f>
        <v>0</v>
      </c>
      <c r="G41" s="109">
        <f t="shared" si="7"/>
        <v>1210.6400000001304</v>
      </c>
      <c r="H41" s="13">
        <v>54023.49</v>
      </c>
      <c r="I41" s="14">
        <v>0</v>
      </c>
      <c r="J41" s="14">
        <f>28977.48+14488.74+4346.63+5000</f>
        <v>52812.85</v>
      </c>
      <c r="K41" s="14">
        <f>H41+I41-J41</f>
        <v>1210.6399999999994</v>
      </c>
      <c r="L41" s="15">
        <f t="shared" si="11"/>
        <v>0</v>
      </c>
      <c r="M41" s="163"/>
      <c r="N41" s="163"/>
      <c r="O41" s="107">
        <f t="shared" si="8"/>
        <v>-1.3096723705530167E-10</v>
      </c>
      <c r="P41" s="185"/>
      <c r="S41" s="141"/>
      <c r="T41" s="144"/>
    </row>
    <row r="42" spans="1:20" s="5" customFormat="1" x14ac:dyDescent="0.2">
      <c r="A42" s="20" t="s">
        <v>51</v>
      </c>
      <c r="B42" s="21">
        <f t="shared" ref="B42:K42" si="12">SUM(B28:B38)</f>
        <v>103250242.27999999</v>
      </c>
      <c r="C42" s="21">
        <f t="shared" si="12"/>
        <v>2417137.7600000021</v>
      </c>
      <c r="D42" s="21">
        <f t="shared" si="12"/>
        <v>186451.15</v>
      </c>
      <c r="E42" s="21">
        <f t="shared" si="12"/>
        <v>1509643.1</v>
      </c>
      <c r="F42" s="21">
        <f t="shared" si="12"/>
        <v>5.2664746136249105</v>
      </c>
      <c r="G42" s="21">
        <f t="shared" si="12"/>
        <v>1093945.8100000019</v>
      </c>
      <c r="H42" s="21">
        <f t="shared" si="12"/>
        <v>2561122.5499999998</v>
      </c>
      <c r="I42" s="21">
        <f t="shared" si="12"/>
        <v>1156509.79</v>
      </c>
      <c r="J42" s="21">
        <f t="shared" si="12"/>
        <v>2623686.5300000003</v>
      </c>
      <c r="K42" s="21">
        <f t="shared" si="12"/>
        <v>1093945.8099999998</v>
      </c>
      <c r="L42" s="23"/>
      <c r="M42" s="164"/>
      <c r="N42" s="164"/>
      <c r="O42" s="61"/>
      <c r="P42" s="203"/>
      <c r="Q42" s="143"/>
      <c r="R42" s="143"/>
    </row>
    <row r="43" spans="1:20" s="17" customFormat="1" x14ac:dyDescent="0.25">
      <c r="A43" s="139" t="s">
        <v>18</v>
      </c>
      <c r="B43" s="10">
        <f>+C43</f>
        <v>557287.6400000006</v>
      </c>
      <c r="C43" s="10">
        <f>9497181.34-8522902.7-416991</f>
        <v>557287.6400000006</v>
      </c>
      <c r="D43" s="11">
        <v>0</v>
      </c>
      <c r="E43" s="10">
        <v>2038.23</v>
      </c>
      <c r="F43" s="12">
        <f>+E43/C43</f>
        <v>3.657411099230548E-3</v>
      </c>
      <c r="G43" s="10">
        <f>+C43+D43-E43</f>
        <v>555249.41000000061</v>
      </c>
      <c r="H43" s="13">
        <f>362224.72-0.47</f>
        <v>362224.25</v>
      </c>
      <c r="I43" s="14">
        <f>22013.2+172259.48</f>
        <v>194272.68000000002</v>
      </c>
      <c r="J43" s="14">
        <f>-4302.52+5550.04</f>
        <v>1247.5199999999995</v>
      </c>
      <c r="K43" s="14">
        <f>H43+I43-J43</f>
        <v>555249.41</v>
      </c>
      <c r="L43" s="15">
        <f>+F43</f>
        <v>3.657411099230548E-3</v>
      </c>
      <c r="M43" s="163"/>
      <c r="N43" s="163"/>
      <c r="O43" s="155">
        <f t="shared" ref="O43:O52" si="13">+K43-G43</f>
        <v>0</v>
      </c>
      <c r="P43" s="202"/>
      <c r="Q43" s="142"/>
      <c r="R43" s="142"/>
    </row>
    <row r="44" spans="1:20" x14ac:dyDescent="0.2">
      <c r="A44" s="139" t="s">
        <v>20</v>
      </c>
      <c r="B44" s="10">
        <v>0</v>
      </c>
      <c r="C44" s="10">
        <f>981063.54-174602.54</f>
        <v>806461</v>
      </c>
      <c r="D44" s="11">
        <v>0</v>
      </c>
      <c r="E44" s="10">
        <v>0</v>
      </c>
      <c r="F44" s="12">
        <f t="shared" ref="F44:F53" si="14">+E44/C44</f>
        <v>0</v>
      </c>
      <c r="G44" s="10">
        <f>+C44+D44-E44</f>
        <v>806461</v>
      </c>
      <c r="H44" s="13">
        <v>1795340.56</v>
      </c>
      <c r="I44" s="14">
        <v>1162</v>
      </c>
      <c r="J44" s="14">
        <f>272555.03+160187.53+557299</f>
        <v>990041.56</v>
      </c>
      <c r="K44" s="14">
        <f t="shared" ref="K44:K69" si="15">H44+I44-J44</f>
        <v>806461</v>
      </c>
      <c r="L44" s="15">
        <f t="shared" ref="L44:L53" si="16">+F44</f>
        <v>0</v>
      </c>
      <c r="M44" s="163"/>
      <c r="N44" s="163"/>
      <c r="O44" s="62">
        <f>+K44-G44</f>
        <v>0</v>
      </c>
      <c r="P44" s="205"/>
    </row>
    <row r="45" spans="1:20" x14ac:dyDescent="0.2">
      <c r="A45" s="139" t="s">
        <v>21</v>
      </c>
      <c r="B45" s="10">
        <f t="shared" ref="B45:B53" si="17">+C45</f>
        <v>465.82999999998719</v>
      </c>
      <c r="C45" s="10">
        <f>266576.99-80893-185218.16</f>
        <v>465.82999999998719</v>
      </c>
      <c r="D45" s="11">
        <v>0</v>
      </c>
      <c r="E45" s="10">
        <v>0</v>
      </c>
      <c r="F45" s="12">
        <f t="shared" si="14"/>
        <v>0</v>
      </c>
      <c r="G45" s="10">
        <f>+C45+D45-E45</f>
        <v>465.82999999998719</v>
      </c>
      <c r="H45" s="13">
        <v>465.83</v>
      </c>
      <c r="I45" s="14">
        <v>0</v>
      </c>
      <c r="J45" s="14">
        <v>0</v>
      </c>
      <c r="K45" s="14">
        <f t="shared" si="15"/>
        <v>465.83</v>
      </c>
      <c r="L45" s="15">
        <f t="shared" si="16"/>
        <v>0</v>
      </c>
      <c r="M45" s="163"/>
      <c r="N45" s="163"/>
      <c r="O45" s="155">
        <f t="shared" si="13"/>
        <v>1.2789769243681803E-11</v>
      </c>
      <c r="P45" s="183"/>
    </row>
    <row r="46" spans="1:20" x14ac:dyDescent="0.2">
      <c r="A46" s="139" t="s">
        <v>22</v>
      </c>
      <c r="B46" s="10">
        <f t="shared" si="17"/>
        <v>6067.4599999999627</v>
      </c>
      <c r="C46" s="10">
        <f>375412.66-201977-167368.2</f>
        <v>6067.4599999999627</v>
      </c>
      <c r="D46" s="10">
        <v>149.51</v>
      </c>
      <c r="E46" s="10">
        <v>0</v>
      </c>
      <c r="F46" s="12">
        <f t="shared" si="14"/>
        <v>0</v>
      </c>
      <c r="G46" s="10">
        <f t="shared" ref="G46:G51" si="18">+C46+D46-E46</f>
        <v>6216.969999999963</v>
      </c>
      <c r="H46" s="13">
        <v>6216.97</v>
      </c>
      <c r="I46" s="14">
        <v>0</v>
      </c>
      <c r="J46" s="14">
        <v>0</v>
      </c>
      <c r="K46" s="14">
        <f t="shared" si="15"/>
        <v>6216.97</v>
      </c>
      <c r="L46" s="15">
        <f t="shared" si="16"/>
        <v>0</v>
      </c>
      <c r="M46" s="163"/>
      <c r="N46" s="163"/>
      <c r="O46" s="62">
        <f t="shared" si="13"/>
        <v>3.7289282772690058E-11</v>
      </c>
      <c r="P46" s="183"/>
    </row>
    <row r="47" spans="1:20" x14ac:dyDescent="0.2">
      <c r="A47" s="139" t="s">
        <v>23</v>
      </c>
      <c r="B47" s="10">
        <f t="shared" si="17"/>
        <v>17016.04999999993</v>
      </c>
      <c r="C47" s="10">
        <f>1302246.39-788192.61-497037.73</f>
        <v>17016.04999999993</v>
      </c>
      <c r="D47" s="10">
        <v>408.58</v>
      </c>
      <c r="E47" s="10">
        <v>0</v>
      </c>
      <c r="F47" s="12">
        <f t="shared" si="14"/>
        <v>0</v>
      </c>
      <c r="G47" s="10">
        <f t="shared" si="18"/>
        <v>17424.629999999932</v>
      </c>
      <c r="H47" s="13">
        <v>17424.63</v>
      </c>
      <c r="I47" s="14">
        <v>0</v>
      </c>
      <c r="J47" s="14">
        <v>0</v>
      </c>
      <c r="K47" s="14">
        <f t="shared" si="15"/>
        <v>17424.63</v>
      </c>
      <c r="L47" s="15">
        <f t="shared" si="16"/>
        <v>0</v>
      </c>
      <c r="M47" s="163"/>
      <c r="N47" s="163"/>
      <c r="O47" s="155">
        <f t="shared" si="13"/>
        <v>6.9121597334742546E-11</v>
      </c>
      <c r="P47" s="183"/>
    </row>
    <row r="48" spans="1:20" x14ac:dyDescent="0.2">
      <c r="A48" s="139" t="s">
        <v>24</v>
      </c>
      <c r="B48" s="10">
        <f t="shared" si="17"/>
        <v>412246.5499999997</v>
      </c>
      <c r="C48" s="10">
        <f>13636634.35-13212786.17-11601.63</f>
        <v>412246.5499999997</v>
      </c>
      <c r="D48" s="11">
        <v>-459</v>
      </c>
      <c r="E48" s="10">
        <v>0</v>
      </c>
      <c r="F48" s="12">
        <f t="shared" si="14"/>
        <v>0</v>
      </c>
      <c r="G48" s="10">
        <f>+C48+D48-E48</f>
        <v>411787.5499999997</v>
      </c>
      <c r="H48" s="13">
        <v>37530.339999999997</v>
      </c>
      <c r="I48" s="14">
        <v>456237</v>
      </c>
      <c r="J48" s="14">
        <f>52394.42+7312.79+22272.58</f>
        <v>81979.790000000008</v>
      </c>
      <c r="K48" s="14">
        <f t="shared" si="15"/>
        <v>411787.54999999993</v>
      </c>
      <c r="L48" s="15">
        <f t="shared" si="16"/>
        <v>0</v>
      </c>
      <c r="M48" s="163"/>
      <c r="N48" s="163"/>
      <c r="O48" s="62">
        <f t="shared" si="13"/>
        <v>0</v>
      </c>
      <c r="P48" s="183"/>
    </row>
    <row r="49" spans="1:18" x14ac:dyDescent="0.2">
      <c r="A49" s="139" t="s">
        <v>25</v>
      </c>
      <c r="B49" s="10">
        <f t="shared" si="17"/>
        <v>5151.3900000000722</v>
      </c>
      <c r="C49" s="10">
        <f>868753.03-542712.97-320888.67</f>
        <v>5151.3900000000722</v>
      </c>
      <c r="D49" s="10">
        <v>131.31</v>
      </c>
      <c r="E49" s="10">
        <v>0</v>
      </c>
      <c r="F49" s="12">
        <f t="shared" si="14"/>
        <v>0</v>
      </c>
      <c r="G49" s="10">
        <f t="shared" si="18"/>
        <v>5282.7000000000726</v>
      </c>
      <c r="H49" s="13">
        <v>5282.7</v>
      </c>
      <c r="I49" s="14">
        <v>0</v>
      </c>
      <c r="J49" s="14">
        <v>0</v>
      </c>
      <c r="K49" s="14">
        <f t="shared" si="15"/>
        <v>5282.7</v>
      </c>
      <c r="L49" s="15">
        <f t="shared" si="16"/>
        <v>0</v>
      </c>
      <c r="M49" s="163"/>
      <c r="N49" s="163"/>
      <c r="O49" s="155">
        <f t="shared" si="13"/>
        <v>-7.2759576141834259E-11</v>
      </c>
      <c r="P49" s="183"/>
    </row>
    <row r="50" spans="1:18" x14ac:dyDescent="0.2">
      <c r="A50" s="139" t="s">
        <v>27</v>
      </c>
      <c r="B50" s="10">
        <f t="shared" si="17"/>
        <v>3767.3699999999953</v>
      </c>
      <c r="C50" s="10">
        <f>573447.69-569680.32</f>
        <v>3767.3699999999953</v>
      </c>
      <c r="D50" s="11">
        <v>0</v>
      </c>
      <c r="E50" s="10">
        <v>0</v>
      </c>
      <c r="F50" s="12">
        <f t="shared" si="14"/>
        <v>0</v>
      </c>
      <c r="G50" s="10">
        <f t="shared" si="18"/>
        <v>3767.3699999999953</v>
      </c>
      <c r="H50" s="13">
        <v>3767.37</v>
      </c>
      <c r="I50" s="14">
        <v>0</v>
      </c>
      <c r="J50" s="14">
        <v>0</v>
      </c>
      <c r="K50" s="14">
        <f t="shared" si="15"/>
        <v>3767.37</v>
      </c>
      <c r="L50" s="15">
        <f t="shared" si="16"/>
        <v>0</v>
      </c>
      <c r="M50" s="163"/>
      <c r="N50" s="163"/>
      <c r="O50" s="62">
        <f t="shared" si="13"/>
        <v>4.5474735088646412E-12</v>
      </c>
      <c r="P50" s="183"/>
    </row>
    <row r="51" spans="1:18" x14ac:dyDescent="0.2">
      <c r="A51" s="139" t="s">
        <v>28</v>
      </c>
      <c r="B51" s="10">
        <f t="shared" si="17"/>
        <v>542.31999999999971</v>
      </c>
      <c r="C51" s="10">
        <f>36484.65-0-35942.33</f>
        <v>542.31999999999971</v>
      </c>
      <c r="D51" s="11">
        <v>0</v>
      </c>
      <c r="E51" s="10">
        <v>0</v>
      </c>
      <c r="F51" s="12">
        <f t="shared" si="14"/>
        <v>0</v>
      </c>
      <c r="G51" s="10">
        <f t="shared" si="18"/>
        <v>542.31999999999971</v>
      </c>
      <c r="H51" s="13">
        <v>542.32000000000005</v>
      </c>
      <c r="I51" s="14">
        <v>0</v>
      </c>
      <c r="J51" s="14">
        <v>0</v>
      </c>
      <c r="K51" s="14">
        <f t="shared" si="15"/>
        <v>542.32000000000005</v>
      </c>
      <c r="L51" s="15">
        <f t="shared" si="16"/>
        <v>0</v>
      </c>
      <c r="M51" s="163"/>
      <c r="N51" s="163"/>
      <c r="O51" s="155">
        <f t="shared" si="13"/>
        <v>0</v>
      </c>
      <c r="P51" s="183"/>
    </row>
    <row r="52" spans="1:18" x14ac:dyDescent="0.2">
      <c r="A52" s="139" t="s">
        <v>29</v>
      </c>
      <c r="B52" s="10">
        <f>+C52</f>
        <v>489577.01999999862</v>
      </c>
      <c r="C52" s="10">
        <f>25804148.7-21535015.98-3779555.7</f>
        <v>489577.01999999862</v>
      </c>
      <c r="D52" s="45"/>
      <c r="E52" s="10">
        <v>0</v>
      </c>
      <c r="F52" s="12">
        <f t="shared" si="14"/>
        <v>0</v>
      </c>
      <c r="G52" s="10">
        <f>+C52+D52-E52</f>
        <v>489577.01999999862</v>
      </c>
      <c r="H52" s="13">
        <f>2255525.44-1688966.46</f>
        <v>566558.98</v>
      </c>
      <c r="I52" s="14">
        <v>122706.07</v>
      </c>
      <c r="J52" s="14">
        <f>20016.25+99956.62+61086.68+18628.48</f>
        <v>199688.03</v>
      </c>
      <c r="K52" s="14">
        <f>H52+I52-J52</f>
        <v>489577.02</v>
      </c>
      <c r="L52" s="15">
        <f t="shared" si="16"/>
        <v>0</v>
      </c>
      <c r="M52" s="163"/>
      <c r="N52" s="163"/>
      <c r="O52" s="62">
        <f t="shared" si="13"/>
        <v>1.3969838619232178E-9</v>
      </c>
      <c r="P52" s="184"/>
    </row>
    <row r="53" spans="1:18" x14ac:dyDescent="0.2">
      <c r="A53" s="139" t="s">
        <v>30</v>
      </c>
      <c r="B53" s="10">
        <f t="shared" si="17"/>
        <v>193749.02000000025</v>
      </c>
      <c r="C53" s="10">
        <f>19272341-17976826.68-1101765.3</f>
        <v>193749.02000000025</v>
      </c>
      <c r="D53" s="10">
        <v>4227.0200000000004</v>
      </c>
      <c r="E53" s="10">
        <v>0</v>
      </c>
      <c r="F53" s="12">
        <f t="shared" si="14"/>
        <v>0</v>
      </c>
      <c r="G53" s="10">
        <f>+C53+D53-E53</f>
        <v>197976.04000000024</v>
      </c>
      <c r="H53" s="13">
        <v>171700.75</v>
      </c>
      <c r="I53" s="14">
        <v>296402</v>
      </c>
      <c r="J53" s="14">
        <f>26299+244312.48</f>
        <v>270611.48</v>
      </c>
      <c r="K53" s="14">
        <f>H53+I53-J53</f>
        <v>197491.27000000002</v>
      </c>
      <c r="L53" s="15">
        <f t="shared" si="16"/>
        <v>0</v>
      </c>
      <c r="M53" s="163"/>
      <c r="N53" s="163"/>
      <c r="O53" s="155">
        <f>+K53-G53</f>
        <v>-484.77000000022235</v>
      </c>
      <c r="P53" s="185"/>
    </row>
    <row r="54" spans="1:18" s="5" customFormat="1" x14ac:dyDescent="0.2">
      <c r="A54" s="20" t="s">
        <v>33</v>
      </c>
      <c r="B54" s="21">
        <f>SUM(B43:B53)</f>
        <v>1685870.649999999</v>
      </c>
      <c r="C54" s="21">
        <f>SUM(C43:C53)</f>
        <v>2492331.6499999994</v>
      </c>
      <c r="D54" s="21">
        <f>SUM(D43:D53)</f>
        <v>4457.42</v>
      </c>
      <c r="E54" s="21">
        <f>SUM(E43:E53)</f>
        <v>2038.23</v>
      </c>
      <c r="F54" s="22">
        <f>+E54/C54</f>
        <v>8.178004721000917E-4</v>
      </c>
      <c r="G54" s="21">
        <f>SUM(G43:G53)</f>
        <v>2494750.8399999989</v>
      </c>
      <c r="H54" s="21">
        <f>SUM(H43:H53)</f>
        <v>2967054.7</v>
      </c>
      <c r="I54" s="21">
        <f>SUM(I43:I53)</f>
        <v>1070779.75</v>
      </c>
      <c r="J54" s="21">
        <f>SUM(J43:J53)</f>
        <v>1543568.3800000001</v>
      </c>
      <c r="K54" s="21">
        <f>SUM(K43:K53)</f>
        <v>2494266.0700000003</v>
      </c>
      <c r="L54" s="23"/>
      <c r="M54" s="164"/>
      <c r="N54" s="164"/>
      <c r="O54" s="62">
        <f t="shared" ref="O54:O70" si="19">+K54-G54</f>
        <v>-484.76999999862164</v>
      </c>
      <c r="P54" s="204"/>
      <c r="Q54" s="143"/>
      <c r="R54" s="143"/>
    </row>
    <row r="55" spans="1:18" x14ac:dyDescent="0.2">
      <c r="A55" s="139" t="s">
        <v>34</v>
      </c>
      <c r="B55" s="10">
        <v>0</v>
      </c>
      <c r="C55" s="10">
        <v>256006.06</v>
      </c>
      <c r="D55" s="13">
        <v>440.75</v>
      </c>
      <c r="E55" s="10">
        <v>0</v>
      </c>
      <c r="F55" s="12">
        <v>0</v>
      </c>
      <c r="G55" s="10">
        <f>+C55+D55-E55</f>
        <v>256446.81</v>
      </c>
      <c r="H55" s="10">
        <v>238695.02</v>
      </c>
      <c r="I55" s="10">
        <v>30099.8</v>
      </c>
      <c r="J55" s="10">
        <v>12348.01</v>
      </c>
      <c r="K55" s="10">
        <f t="shared" si="15"/>
        <v>256446.81</v>
      </c>
      <c r="L55" s="15"/>
      <c r="M55" s="163"/>
      <c r="N55" s="163"/>
      <c r="O55" s="62">
        <f t="shared" si="19"/>
        <v>0</v>
      </c>
      <c r="P55" s="183"/>
    </row>
    <row r="56" spans="1:18" x14ac:dyDescent="0.2">
      <c r="A56" s="20" t="s">
        <v>35</v>
      </c>
      <c r="B56" s="25">
        <f t="shared" ref="B56:K56" si="20">SUM(B55:B55)</f>
        <v>0</v>
      </c>
      <c r="C56" s="25">
        <f t="shared" si="20"/>
        <v>256006.06</v>
      </c>
      <c r="D56" s="25">
        <f t="shared" si="20"/>
        <v>440.75</v>
      </c>
      <c r="E56" s="25">
        <f t="shared" si="20"/>
        <v>0</v>
      </c>
      <c r="F56" s="25">
        <f t="shared" si="20"/>
        <v>0</v>
      </c>
      <c r="G56" s="25">
        <f t="shared" si="20"/>
        <v>256446.81</v>
      </c>
      <c r="H56" s="25">
        <f t="shared" si="20"/>
        <v>238695.02</v>
      </c>
      <c r="I56" s="25">
        <f t="shared" si="20"/>
        <v>30099.8</v>
      </c>
      <c r="J56" s="25">
        <f t="shared" si="20"/>
        <v>12348.01</v>
      </c>
      <c r="K56" s="25">
        <f t="shared" si="20"/>
        <v>256446.81</v>
      </c>
      <c r="L56" s="27"/>
      <c r="M56" s="163"/>
      <c r="N56" s="163"/>
      <c r="O56" s="62">
        <f t="shared" si="19"/>
        <v>0</v>
      </c>
      <c r="P56" s="183"/>
    </row>
    <row r="57" spans="1:18" x14ac:dyDescent="0.2">
      <c r="A57" s="139" t="s">
        <v>18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0.47</v>
      </c>
      <c r="H57" s="10">
        <v>0.47</v>
      </c>
      <c r="I57" s="10">
        <v>0</v>
      </c>
      <c r="J57" s="10">
        <v>0</v>
      </c>
      <c r="K57" s="10">
        <f t="shared" si="15"/>
        <v>0.47</v>
      </c>
      <c r="L57" s="15"/>
      <c r="M57" s="163"/>
      <c r="N57" s="163"/>
      <c r="O57" s="62">
        <f t="shared" si="19"/>
        <v>0</v>
      </c>
      <c r="P57" s="183"/>
    </row>
    <row r="58" spans="1:18" x14ac:dyDescent="0.2">
      <c r="A58" s="139" t="s">
        <v>29</v>
      </c>
      <c r="B58" s="10">
        <v>0</v>
      </c>
      <c r="C58" s="10">
        <v>0</v>
      </c>
      <c r="D58" s="10">
        <v>0</v>
      </c>
      <c r="E58" s="10">
        <v>0</v>
      </c>
      <c r="F58" s="12">
        <v>0</v>
      </c>
      <c r="G58" s="10">
        <v>17.399999999999999</v>
      </c>
      <c r="H58" s="10">
        <v>17.399999999999999</v>
      </c>
      <c r="I58" s="10"/>
      <c r="J58" s="10">
        <v>0</v>
      </c>
      <c r="K58" s="10">
        <f t="shared" si="15"/>
        <v>17.399999999999999</v>
      </c>
      <c r="L58" s="15"/>
      <c r="M58" s="163"/>
      <c r="N58" s="163"/>
      <c r="O58" s="62">
        <f t="shared" si="19"/>
        <v>0</v>
      </c>
      <c r="P58" s="183"/>
    </row>
    <row r="59" spans="1:18" x14ac:dyDescent="0.2">
      <c r="A59" s="20" t="s">
        <v>37</v>
      </c>
      <c r="B59" s="25">
        <f t="shared" ref="B59:K59" si="21">SUM(B57:B58)</f>
        <v>0</v>
      </c>
      <c r="C59" s="25">
        <f t="shared" si="21"/>
        <v>0</v>
      </c>
      <c r="D59" s="25">
        <f t="shared" si="21"/>
        <v>0</v>
      </c>
      <c r="E59" s="25">
        <f t="shared" si="21"/>
        <v>0</v>
      </c>
      <c r="F59" s="25">
        <f t="shared" si="21"/>
        <v>0</v>
      </c>
      <c r="G59" s="25">
        <f t="shared" si="21"/>
        <v>17.869999999999997</v>
      </c>
      <c r="H59" s="25">
        <f t="shared" si="21"/>
        <v>17.869999999999997</v>
      </c>
      <c r="I59" s="25">
        <f t="shared" si="21"/>
        <v>0</v>
      </c>
      <c r="J59" s="25">
        <f t="shared" si="21"/>
        <v>0</v>
      </c>
      <c r="K59" s="25">
        <f t="shared" si="21"/>
        <v>17.869999999999997</v>
      </c>
      <c r="L59" s="27"/>
      <c r="M59" s="163"/>
      <c r="N59" s="163"/>
      <c r="O59" s="62">
        <f>+K59-G59</f>
        <v>0</v>
      </c>
      <c r="P59" s="183"/>
    </row>
    <row r="60" spans="1:18" x14ac:dyDescent="0.2">
      <c r="A60" s="139" t="s">
        <v>18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1392</v>
      </c>
      <c r="H60" s="10">
        <v>1392</v>
      </c>
      <c r="I60" s="10">
        <v>0</v>
      </c>
      <c r="J60" s="10">
        <v>0</v>
      </c>
      <c r="K60" s="10">
        <f t="shared" si="15"/>
        <v>1392</v>
      </c>
      <c r="L60" s="15"/>
      <c r="M60" s="163"/>
      <c r="N60" s="163"/>
      <c r="O60" s="62">
        <f t="shared" si="19"/>
        <v>0</v>
      </c>
      <c r="P60" s="183"/>
    </row>
    <row r="61" spans="1:18" x14ac:dyDescent="0.2">
      <c r="A61" s="139" t="s">
        <v>20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382.8</v>
      </c>
      <c r="H61" s="10">
        <v>382.8</v>
      </c>
      <c r="I61" s="10">
        <v>0</v>
      </c>
      <c r="J61" s="10">
        <v>0</v>
      </c>
      <c r="K61" s="10">
        <f t="shared" si="15"/>
        <v>382.8</v>
      </c>
      <c r="L61" s="15"/>
      <c r="M61" s="163"/>
      <c r="N61" s="163"/>
      <c r="O61" s="62">
        <f t="shared" si="19"/>
        <v>0</v>
      </c>
      <c r="P61" s="183"/>
    </row>
    <row r="62" spans="1:18" x14ac:dyDescent="0.2">
      <c r="A62" s="139" t="s">
        <v>29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242057.67</v>
      </c>
      <c r="H62" s="10">
        <v>242057.67</v>
      </c>
      <c r="I62" s="10">
        <v>0</v>
      </c>
      <c r="J62" s="10">
        <v>0</v>
      </c>
      <c r="K62" s="10">
        <f t="shared" si="15"/>
        <v>242057.67</v>
      </c>
      <c r="L62" s="15"/>
      <c r="M62" s="163"/>
      <c r="N62" s="163"/>
      <c r="O62" s="62">
        <f t="shared" si="19"/>
        <v>0</v>
      </c>
      <c r="P62" s="183"/>
    </row>
    <row r="63" spans="1:18" x14ac:dyDescent="0.2">
      <c r="A63" s="20" t="s">
        <v>38</v>
      </c>
      <c r="B63" s="25">
        <f t="shared" ref="B63:K63" si="22">SUM(B60:B62)</f>
        <v>0</v>
      </c>
      <c r="C63" s="25">
        <f t="shared" si="22"/>
        <v>0</v>
      </c>
      <c r="D63" s="25">
        <f t="shared" si="22"/>
        <v>0</v>
      </c>
      <c r="E63" s="25">
        <f t="shared" si="22"/>
        <v>0</v>
      </c>
      <c r="F63" s="25">
        <f t="shared" si="22"/>
        <v>0</v>
      </c>
      <c r="G63" s="25">
        <f t="shared" si="22"/>
        <v>243832.47</v>
      </c>
      <c r="H63" s="25">
        <f t="shared" si="22"/>
        <v>243832.47</v>
      </c>
      <c r="I63" s="25">
        <f t="shared" si="22"/>
        <v>0</v>
      </c>
      <c r="J63" s="25">
        <f t="shared" si="22"/>
        <v>0</v>
      </c>
      <c r="K63" s="25">
        <f t="shared" si="22"/>
        <v>243832.47</v>
      </c>
      <c r="L63" s="27"/>
      <c r="M63" s="163"/>
      <c r="N63" s="163"/>
      <c r="O63" s="62">
        <f t="shared" si="19"/>
        <v>0</v>
      </c>
      <c r="P63" s="183"/>
    </row>
    <row r="64" spans="1:18" x14ac:dyDescent="0.2">
      <c r="A64" s="139" t="s">
        <v>36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-10</v>
      </c>
      <c r="H64" s="10">
        <v>-10</v>
      </c>
      <c r="I64" s="10">
        <v>0</v>
      </c>
      <c r="J64" s="10">
        <v>0</v>
      </c>
      <c r="K64" s="10">
        <f t="shared" si="15"/>
        <v>-10</v>
      </c>
      <c r="L64" s="15"/>
      <c r="M64" s="163"/>
      <c r="N64" s="163"/>
      <c r="O64" s="62">
        <f t="shared" si="19"/>
        <v>0</v>
      </c>
      <c r="P64" s="183"/>
    </row>
    <row r="65" spans="1:16" x14ac:dyDescent="0.2">
      <c r="A65" s="139" t="s">
        <v>20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219.47</v>
      </c>
      <c r="H65" s="10">
        <v>219.47</v>
      </c>
      <c r="I65" s="10">
        <v>0</v>
      </c>
      <c r="J65" s="10">
        <v>0</v>
      </c>
      <c r="K65" s="10">
        <f t="shared" si="15"/>
        <v>219.47</v>
      </c>
      <c r="L65" s="15"/>
      <c r="M65" s="163"/>
      <c r="N65" s="163"/>
      <c r="O65" s="62">
        <f t="shared" si="19"/>
        <v>0</v>
      </c>
      <c r="P65" s="183"/>
    </row>
    <row r="66" spans="1:16" x14ac:dyDescent="0.2">
      <c r="A66" s="139" t="s">
        <v>24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1150.8900000000001</v>
      </c>
      <c r="H66" s="10">
        <v>42631.81</v>
      </c>
      <c r="I66" s="10">
        <v>412765.08</v>
      </c>
      <c r="J66" s="10">
        <v>454246</v>
      </c>
      <c r="K66" s="10">
        <f t="shared" si="15"/>
        <v>1150.890000000014</v>
      </c>
      <c r="L66" s="15"/>
      <c r="M66" s="163"/>
      <c r="N66" s="163"/>
      <c r="O66" s="62">
        <f t="shared" si="19"/>
        <v>1.3869794202037156E-11</v>
      </c>
      <c r="P66" s="183"/>
    </row>
    <row r="67" spans="1:16" x14ac:dyDescent="0.2">
      <c r="A67" s="139" t="s">
        <v>25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719.87</v>
      </c>
      <c r="H67" s="10">
        <v>719.87</v>
      </c>
      <c r="I67" s="10">
        <v>0</v>
      </c>
      <c r="J67" s="10">
        <v>0</v>
      </c>
      <c r="K67" s="10">
        <f t="shared" si="15"/>
        <v>719.87</v>
      </c>
      <c r="L67" s="15"/>
      <c r="M67" s="163"/>
      <c r="N67" s="163"/>
      <c r="O67" s="62">
        <f t="shared" si="19"/>
        <v>0</v>
      </c>
      <c r="P67" s="183"/>
    </row>
    <row r="68" spans="1:16" x14ac:dyDescent="0.2">
      <c r="A68" s="139" t="s">
        <v>27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267528.84000000003</v>
      </c>
      <c r="H68" s="10">
        <v>0</v>
      </c>
      <c r="I68" s="10">
        <v>267528.84000000003</v>
      </c>
      <c r="J68" s="10">
        <v>0</v>
      </c>
      <c r="K68" s="10">
        <f t="shared" si="15"/>
        <v>267528.84000000003</v>
      </c>
      <c r="L68" s="15"/>
      <c r="M68" s="163"/>
      <c r="N68" s="163"/>
      <c r="O68" s="62">
        <f t="shared" si="19"/>
        <v>0</v>
      </c>
      <c r="P68" s="183"/>
    </row>
    <row r="69" spans="1:16" x14ac:dyDescent="0.2">
      <c r="A69" s="139" t="s">
        <v>29</v>
      </c>
      <c r="B69" s="10">
        <v>0</v>
      </c>
      <c r="C69" s="10">
        <v>0</v>
      </c>
      <c r="D69" s="10"/>
      <c r="E69" s="10">
        <v>0</v>
      </c>
      <c r="F69" s="12">
        <v>0</v>
      </c>
      <c r="G69" s="10">
        <v>236767.4</v>
      </c>
      <c r="H69" s="10">
        <v>243581.68</v>
      </c>
      <c r="I69" s="10">
        <v>0</v>
      </c>
      <c r="J69" s="10">
        <f>2827.74+3986.54</f>
        <v>6814.28</v>
      </c>
      <c r="K69" s="10">
        <f t="shared" si="15"/>
        <v>236767.4</v>
      </c>
      <c r="L69" s="15"/>
      <c r="M69" s="163"/>
      <c r="N69" s="163"/>
      <c r="O69" s="62">
        <f t="shared" si="19"/>
        <v>0</v>
      </c>
      <c r="P69" s="183"/>
    </row>
    <row r="70" spans="1:16" x14ac:dyDescent="0.2">
      <c r="A70" s="20" t="s">
        <v>39</v>
      </c>
      <c r="B70" s="25">
        <f t="shared" ref="B70:K70" si="23">SUM(B64:B69)</f>
        <v>0</v>
      </c>
      <c r="C70" s="25">
        <f t="shared" si="23"/>
        <v>0</v>
      </c>
      <c r="D70" s="25">
        <f t="shared" si="23"/>
        <v>0</v>
      </c>
      <c r="E70" s="25">
        <f t="shared" si="23"/>
        <v>0</v>
      </c>
      <c r="F70" s="25">
        <f t="shared" si="23"/>
        <v>0</v>
      </c>
      <c r="G70" s="25">
        <f t="shared" si="23"/>
        <v>506376.47</v>
      </c>
      <c r="H70" s="25">
        <f t="shared" si="23"/>
        <v>287142.83</v>
      </c>
      <c r="I70" s="25">
        <f t="shared" si="23"/>
        <v>680293.92</v>
      </c>
      <c r="J70" s="25">
        <f t="shared" si="23"/>
        <v>461060.28</v>
      </c>
      <c r="K70" s="25">
        <f t="shared" si="23"/>
        <v>506376.47000000009</v>
      </c>
      <c r="L70" s="27"/>
      <c r="M70" s="163"/>
      <c r="N70" s="163"/>
      <c r="O70" s="62">
        <f t="shared" si="19"/>
        <v>0</v>
      </c>
      <c r="P70" s="183"/>
    </row>
    <row r="71" spans="1:16" x14ac:dyDescent="0.25">
      <c r="A71" s="20" t="s">
        <v>44</v>
      </c>
      <c r="B71" s="25">
        <f t="shared" ref="B71:K71" si="24">+B42+B54+B56+B59+B63+B70</f>
        <v>104936112.92999999</v>
      </c>
      <c r="C71" s="25">
        <f t="shared" si="24"/>
        <v>5165475.4700000016</v>
      </c>
      <c r="D71" s="25">
        <f t="shared" si="24"/>
        <v>191349.32</v>
      </c>
      <c r="E71" s="25">
        <f t="shared" si="24"/>
        <v>1511681.33</v>
      </c>
      <c r="F71" s="25">
        <f t="shared" si="24"/>
        <v>5.2672924140970103</v>
      </c>
      <c r="G71" s="25">
        <f t="shared" si="24"/>
        <v>4595370.2700000014</v>
      </c>
      <c r="H71" s="25">
        <f t="shared" si="24"/>
        <v>6297865.4399999995</v>
      </c>
      <c r="I71" s="25">
        <f t="shared" si="24"/>
        <v>2937683.26</v>
      </c>
      <c r="J71" s="25">
        <f t="shared" si="24"/>
        <v>4640663.2</v>
      </c>
      <c r="K71" s="25">
        <f t="shared" si="24"/>
        <v>4594885.5</v>
      </c>
      <c r="L71" s="27"/>
      <c r="M71" s="163"/>
      <c r="N71" s="163"/>
      <c r="P71" s="186"/>
    </row>
    <row r="72" spans="1:16" x14ac:dyDescent="0.25">
      <c r="A72" s="28"/>
      <c r="B72" s="29"/>
      <c r="C72" s="29"/>
      <c r="D72" s="29"/>
      <c r="E72" s="28"/>
      <c r="F72" s="28"/>
      <c r="G72" s="28"/>
      <c r="H72" s="28"/>
      <c r="I72" s="28"/>
      <c r="J72" s="28"/>
      <c r="K72" s="28"/>
      <c r="L72" s="30"/>
      <c r="M72" s="30"/>
      <c r="N72" s="30"/>
      <c r="P72" s="186"/>
    </row>
    <row r="73" spans="1:16" x14ac:dyDescent="0.25">
      <c r="A73" s="140"/>
      <c r="B73" s="19"/>
      <c r="C73" s="333" t="s">
        <v>45</v>
      </c>
      <c r="D73" s="333"/>
      <c r="E73" s="333"/>
      <c r="F73" s="333"/>
      <c r="G73" s="333"/>
      <c r="H73" s="333"/>
      <c r="I73" s="333"/>
      <c r="J73" s="19"/>
      <c r="K73" s="19"/>
      <c r="L73" s="19"/>
      <c r="M73" s="19"/>
      <c r="N73" s="19"/>
      <c r="P73" s="186"/>
    </row>
    <row r="74" spans="1:16" x14ac:dyDescent="0.25">
      <c r="A74" s="140"/>
      <c r="B74" s="19"/>
      <c r="C74" s="234"/>
      <c r="D74" s="234"/>
      <c r="E74" s="234"/>
      <c r="F74" s="234"/>
      <c r="G74" s="234"/>
      <c r="H74" s="234"/>
      <c r="I74" s="234"/>
      <c r="J74" s="19"/>
      <c r="K74" s="19"/>
      <c r="L74" s="19"/>
      <c r="M74" s="19"/>
      <c r="N74" s="19"/>
      <c r="P74" s="186"/>
    </row>
    <row r="75" spans="1:16" x14ac:dyDescent="0.25">
      <c r="A75" s="140"/>
      <c r="B75" s="325" t="s">
        <v>46</v>
      </c>
      <c r="C75" s="325"/>
      <c r="D75" s="326" t="s">
        <v>47</v>
      </c>
      <c r="E75" s="327"/>
      <c r="F75" s="328"/>
      <c r="G75" s="320" t="s">
        <v>48</v>
      </c>
      <c r="H75" s="320"/>
      <c r="I75" s="232" t="s">
        <v>10</v>
      </c>
      <c r="J75" s="19"/>
      <c r="K75" s="19"/>
      <c r="L75" s="19"/>
      <c r="M75" s="19"/>
      <c r="N75" s="19"/>
      <c r="P75" s="186"/>
    </row>
    <row r="76" spans="1:16" x14ac:dyDescent="0.25">
      <c r="A76" s="140"/>
      <c r="B76" s="329" t="s">
        <v>49</v>
      </c>
      <c r="C76" s="329"/>
      <c r="D76" s="330">
        <v>9000000</v>
      </c>
      <c r="E76" s="331"/>
      <c r="F76" s="332">
        <v>0</v>
      </c>
      <c r="G76" s="330">
        <v>0</v>
      </c>
      <c r="H76" s="332"/>
      <c r="I76" s="33">
        <f>G76/D76</f>
        <v>0</v>
      </c>
      <c r="J76" s="19"/>
      <c r="K76" s="19"/>
      <c r="L76" s="19"/>
      <c r="M76" s="19"/>
      <c r="N76" s="19"/>
      <c r="P76" s="186"/>
    </row>
    <row r="77" spans="1:16" x14ac:dyDescent="0.25">
      <c r="A77" s="140"/>
      <c r="B77" s="320"/>
      <c r="C77" s="320"/>
      <c r="D77" s="321"/>
      <c r="E77" s="322"/>
      <c r="F77" s="323"/>
      <c r="G77" s="324"/>
      <c r="H77" s="324"/>
      <c r="I77" s="233"/>
      <c r="J77" s="19"/>
      <c r="K77" s="19"/>
      <c r="L77" s="19"/>
      <c r="M77" s="19"/>
      <c r="N77" s="19"/>
      <c r="P77" s="186"/>
    </row>
    <row r="78" spans="1:16" x14ac:dyDescent="0.25">
      <c r="A78" s="140"/>
      <c r="B78" s="320"/>
      <c r="C78" s="320"/>
      <c r="D78" s="321"/>
      <c r="E78" s="322"/>
      <c r="F78" s="323"/>
      <c r="G78" s="324"/>
      <c r="H78" s="324"/>
      <c r="I78" s="233"/>
      <c r="J78" s="19"/>
      <c r="K78" s="19"/>
      <c r="L78" s="19"/>
      <c r="M78" s="19"/>
      <c r="N78" s="19"/>
      <c r="P78" s="186"/>
    </row>
    <row r="79" spans="1:16" x14ac:dyDescent="0.25">
      <c r="A79" s="140"/>
      <c r="B79" s="320"/>
      <c r="C79" s="320"/>
      <c r="D79" s="321"/>
      <c r="E79" s="322"/>
      <c r="F79" s="323"/>
      <c r="G79" s="324"/>
      <c r="H79" s="324"/>
      <c r="I79" s="233"/>
      <c r="J79" s="19"/>
      <c r="K79" s="19"/>
      <c r="L79" s="19"/>
      <c r="M79" s="19"/>
      <c r="N79" s="19"/>
      <c r="P79" s="186"/>
    </row>
    <row r="80" spans="1:16" x14ac:dyDescent="0.25">
      <c r="A80" s="35" t="s">
        <v>50</v>
      </c>
      <c r="B80" s="36"/>
      <c r="C80" s="36"/>
      <c r="D80" s="36"/>
      <c r="E80" s="36"/>
      <c r="F80" s="36"/>
      <c r="G80" s="37"/>
      <c r="H80" s="37"/>
      <c r="I80" s="38"/>
      <c r="J80" s="19"/>
      <c r="K80" s="19"/>
      <c r="L80" s="19"/>
      <c r="M80" s="19"/>
      <c r="N80" s="19"/>
      <c r="P80" s="186"/>
    </row>
    <row r="81" spans="3:16" x14ac:dyDescent="0.25">
      <c r="P81" s="186"/>
    </row>
    <row r="82" spans="3:16" x14ac:dyDescent="0.25">
      <c r="C82" s="342" t="s">
        <v>125</v>
      </c>
      <c r="D82" s="342"/>
      <c r="I82" s="342" t="s">
        <v>128</v>
      </c>
      <c r="J82" s="342"/>
      <c r="P82" s="186"/>
    </row>
    <row r="83" spans="3:16" x14ac:dyDescent="0.25">
      <c r="P83" s="186"/>
    </row>
    <row r="84" spans="3:16" x14ac:dyDescent="0.25">
      <c r="P84" s="186"/>
    </row>
    <row r="85" spans="3:16" x14ac:dyDescent="0.25">
      <c r="C85" s="342" t="s">
        <v>126</v>
      </c>
      <c r="D85" s="342"/>
      <c r="I85" s="342" t="s">
        <v>129</v>
      </c>
      <c r="J85" s="342"/>
      <c r="P85" s="186"/>
    </row>
    <row r="86" spans="3:16" x14ac:dyDescent="0.25">
      <c r="C86" s="342" t="s">
        <v>127</v>
      </c>
      <c r="D86" s="342"/>
      <c r="I86" s="342" t="s">
        <v>130</v>
      </c>
      <c r="J86" s="342"/>
      <c r="P86" s="186"/>
    </row>
    <row r="87" spans="3:16" x14ac:dyDescent="0.25">
      <c r="P87" s="186"/>
    </row>
    <row r="88" spans="3:16" x14ac:dyDescent="0.25">
      <c r="P88" s="186"/>
    </row>
    <row r="89" spans="3:16" x14ac:dyDescent="0.25">
      <c r="P89" s="186"/>
    </row>
    <row r="90" spans="3:16" x14ac:dyDescent="0.25">
      <c r="P90" s="186"/>
    </row>
    <row r="91" spans="3:16" x14ac:dyDescent="0.25">
      <c r="P91" s="186"/>
    </row>
    <row r="92" spans="3:16" x14ac:dyDescent="0.25">
      <c r="P92" s="186"/>
    </row>
    <row r="93" spans="3:16" x14ac:dyDescent="0.25">
      <c r="P93" s="186"/>
    </row>
    <row r="94" spans="3:16" x14ac:dyDescent="0.25">
      <c r="P94" s="186"/>
    </row>
    <row r="95" spans="3:16" x14ac:dyDescent="0.25">
      <c r="P95" s="186"/>
    </row>
    <row r="96" spans="3:16" x14ac:dyDescent="0.25">
      <c r="P96" s="186"/>
    </row>
    <row r="97" spans="16:16" x14ac:dyDescent="0.25">
      <c r="P97" s="186"/>
    </row>
    <row r="98" spans="16:16" x14ac:dyDescent="0.25">
      <c r="P98" s="186"/>
    </row>
    <row r="99" spans="16:16" x14ac:dyDescent="0.25">
      <c r="P99" s="186"/>
    </row>
    <row r="100" spans="16:16" x14ac:dyDescent="0.25">
      <c r="P100" s="186"/>
    </row>
    <row r="101" spans="16:16" x14ac:dyDescent="0.25">
      <c r="P101" s="186"/>
    </row>
    <row r="102" spans="16:16" x14ac:dyDescent="0.25">
      <c r="P102" s="186"/>
    </row>
    <row r="103" spans="16:16" x14ac:dyDescent="0.25">
      <c r="P103" s="186"/>
    </row>
    <row r="104" spans="16:16" x14ac:dyDescent="0.25">
      <c r="P104" s="186"/>
    </row>
    <row r="105" spans="16:16" x14ac:dyDescent="0.25">
      <c r="P105" s="186"/>
    </row>
    <row r="106" spans="16:16" x14ac:dyDescent="0.25">
      <c r="P106" s="186"/>
    </row>
    <row r="107" spans="16:16" x14ac:dyDescent="0.25">
      <c r="P107" s="186"/>
    </row>
    <row r="108" spans="16:16" x14ac:dyDescent="0.25">
      <c r="P108" s="186"/>
    </row>
    <row r="109" spans="16:16" x14ac:dyDescent="0.25">
      <c r="P109" s="186"/>
    </row>
    <row r="110" spans="16:16" x14ac:dyDescent="0.25">
      <c r="P110" s="186"/>
    </row>
    <row r="111" spans="16:16" x14ac:dyDescent="0.25">
      <c r="P111" s="186"/>
    </row>
    <row r="112" spans="16:16" x14ac:dyDescent="0.25">
      <c r="P112" s="186"/>
    </row>
    <row r="113" spans="16:16" x14ac:dyDescent="0.25">
      <c r="P113" s="186"/>
    </row>
    <row r="114" spans="16:16" x14ac:dyDescent="0.25">
      <c r="P114" s="186"/>
    </row>
    <row r="115" spans="16:16" x14ac:dyDescent="0.25">
      <c r="P115" s="186"/>
    </row>
    <row r="116" spans="16:16" x14ac:dyDescent="0.25">
      <c r="P116" s="186"/>
    </row>
    <row r="117" spans="16:16" x14ac:dyDescent="0.25">
      <c r="P117" s="186"/>
    </row>
    <row r="118" spans="16:16" x14ac:dyDescent="0.25">
      <c r="P118" s="186"/>
    </row>
    <row r="119" spans="16:16" x14ac:dyDescent="0.25">
      <c r="P119" s="186"/>
    </row>
    <row r="120" spans="16:16" x14ac:dyDescent="0.25">
      <c r="P120" s="186"/>
    </row>
    <row r="121" spans="16:16" x14ac:dyDescent="0.25">
      <c r="P121" s="186"/>
    </row>
    <row r="122" spans="16:16" x14ac:dyDescent="0.25">
      <c r="P122" s="186"/>
    </row>
    <row r="123" spans="16:16" x14ac:dyDescent="0.25">
      <c r="P123" s="186"/>
    </row>
    <row r="124" spans="16:16" x14ac:dyDescent="0.25">
      <c r="P124" s="186"/>
    </row>
    <row r="125" spans="16:16" x14ac:dyDescent="0.25">
      <c r="P125" s="186"/>
    </row>
    <row r="126" spans="16:16" x14ac:dyDescent="0.25">
      <c r="P126" s="186"/>
    </row>
    <row r="127" spans="16:16" x14ac:dyDescent="0.25">
      <c r="P127" s="186"/>
    </row>
    <row r="128" spans="16:16" x14ac:dyDescent="0.25">
      <c r="P128" s="186"/>
    </row>
    <row r="129" spans="16:16" x14ac:dyDescent="0.25">
      <c r="P129" s="186"/>
    </row>
    <row r="130" spans="16:16" x14ac:dyDescent="0.25">
      <c r="P130" s="186"/>
    </row>
    <row r="131" spans="16:16" x14ac:dyDescent="0.25">
      <c r="P131" s="186"/>
    </row>
    <row r="132" spans="16:16" x14ac:dyDescent="0.25">
      <c r="P132" s="186"/>
    </row>
    <row r="133" spans="16:16" x14ac:dyDescent="0.25">
      <c r="P133" s="186"/>
    </row>
    <row r="134" spans="16:16" x14ac:dyDescent="0.25">
      <c r="P134" s="186"/>
    </row>
    <row r="135" spans="16:16" x14ac:dyDescent="0.25">
      <c r="P135" s="186"/>
    </row>
    <row r="136" spans="16:16" x14ac:dyDescent="0.25">
      <c r="P136" s="186"/>
    </row>
    <row r="137" spans="16:16" x14ac:dyDescent="0.25">
      <c r="P137" s="186"/>
    </row>
    <row r="138" spans="16:16" x14ac:dyDescent="0.25">
      <c r="P138" s="186"/>
    </row>
    <row r="139" spans="16:16" x14ac:dyDescent="0.25">
      <c r="P139" s="186"/>
    </row>
    <row r="140" spans="16:16" x14ac:dyDescent="0.25">
      <c r="P140" s="186"/>
    </row>
    <row r="141" spans="16:16" x14ac:dyDescent="0.25">
      <c r="P141" s="186"/>
    </row>
    <row r="142" spans="16:16" x14ac:dyDescent="0.25">
      <c r="P142" s="186"/>
    </row>
    <row r="143" spans="16:16" x14ac:dyDescent="0.25">
      <c r="P143" s="186"/>
    </row>
    <row r="144" spans="16:16" x14ac:dyDescent="0.25">
      <c r="P144" s="186"/>
    </row>
    <row r="145" spans="16:16" x14ac:dyDescent="0.25">
      <c r="P145" s="186"/>
    </row>
    <row r="146" spans="16:16" x14ac:dyDescent="0.25">
      <c r="P146" s="186"/>
    </row>
    <row r="147" spans="16:16" x14ac:dyDescent="0.25">
      <c r="P147" s="186"/>
    </row>
    <row r="148" spans="16:16" x14ac:dyDescent="0.25">
      <c r="P148" s="186"/>
    </row>
    <row r="149" spans="16:16" x14ac:dyDescent="0.25">
      <c r="P149" s="186"/>
    </row>
    <row r="150" spans="16:16" x14ac:dyDescent="0.25">
      <c r="P150" s="186"/>
    </row>
    <row r="151" spans="16:16" x14ac:dyDescent="0.25">
      <c r="P151" s="186"/>
    </row>
    <row r="152" spans="16:16" x14ac:dyDescent="0.25">
      <c r="P152" s="186"/>
    </row>
    <row r="153" spans="16:16" x14ac:dyDescent="0.25">
      <c r="P153" s="186"/>
    </row>
    <row r="154" spans="16:16" x14ac:dyDescent="0.25">
      <c r="P154" s="186"/>
    </row>
    <row r="155" spans="16:16" x14ac:dyDescent="0.25">
      <c r="P155" s="186"/>
    </row>
    <row r="156" spans="16:16" x14ac:dyDescent="0.25">
      <c r="P156" s="186"/>
    </row>
    <row r="157" spans="16:16" x14ac:dyDescent="0.25">
      <c r="P157" s="186"/>
    </row>
    <row r="158" spans="16:16" x14ac:dyDescent="0.25">
      <c r="P158" s="186"/>
    </row>
    <row r="159" spans="16:16" x14ac:dyDescent="0.25">
      <c r="P159" s="186"/>
    </row>
    <row r="160" spans="16:16" x14ac:dyDescent="0.25">
      <c r="P160" s="186"/>
    </row>
    <row r="161" spans="16:16" x14ac:dyDescent="0.25">
      <c r="P161" s="186"/>
    </row>
    <row r="162" spans="16:16" x14ac:dyDescent="0.25">
      <c r="P162" s="186"/>
    </row>
    <row r="163" spans="16:16" x14ac:dyDescent="0.25">
      <c r="P163" s="186"/>
    </row>
    <row r="164" spans="16:16" x14ac:dyDescent="0.25">
      <c r="P164" s="186"/>
    </row>
    <row r="165" spans="16:16" x14ac:dyDescent="0.25">
      <c r="P165" s="186"/>
    </row>
    <row r="166" spans="16:16" x14ac:dyDescent="0.25">
      <c r="P166" s="186"/>
    </row>
    <row r="167" spans="16:16" x14ac:dyDescent="0.25">
      <c r="P167" s="186"/>
    </row>
    <row r="168" spans="16:16" x14ac:dyDescent="0.25">
      <c r="P168" s="186"/>
    </row>
    <row r="169" spans="16:16" x14ac:dyDescent="0.25">
      <c r="P169" s="186"/>
    </row>
    <row r="170" spans="16:16" x14ac:dyDescent="0.25">
      <c r="P170" s="186"/>
    </row>
    <row r="171" spans="16:16" x14ac:dyDescent="0.25">
      <c r="P171" s="186"/>
    </row>
    <row r="172" spans="16:16" x14ac:dyDescent="0.25">
      <c r="P172" s="186"/>
    </row>
    <row r="173" spans="16:16" x14ac:dyDescent="0.25">
      <c r="P173" s="186"/>
    </row>
    <row r="174" spans="16:16" x14ac:dyDescent="0.25">
      <c r="P174" s="186"/>
    </row>
    <row r="175" spans="16:16" x14ac:dyDescent="0.25">
      <c r="P175" s="186"/>
    </row>
    <row r="176" spans="16:16" x14ac:dyDescent="0.25">
      <c r="P176" s="186"/>
    </row>
    <row r="177" spans="16:16" x14ac:dyDescent="0.25">
      <c r="P177" s="186"/>
    </row>
    <row r="178" spans="16:16" x14ac:dyDescent="0.25">
      <c r="P178" s="186"/>
    </row>
    <row r="179" spans="16:16" x14ac:dyDescent="0.25">
      <c r="P179" s="186"/>
    </row>
    <row r="180" spans="16:16" x14ac:dyDescent="0.25">
      <c r="P180" s="186"/>
    </row>
    <row r="181" spans="16:16" x14ac:dyDescent="0.25">
      <c r="P181" s="186"/>
    </row>
    <row r="182" spans="16:16" x14ac:dyDescent="0.25">
      <c r="P182" s="186"/>
    </row>
    <row r="183" spans="16:16" x14ac:dyDescent="0.25">
      <c r="P183" s="186"/>
    </row>
    <row r="184" spans="16:16" x14ac:dyDescent="0.25">
      <c r="P184" s="186"/>
    </row>
    <row r="185" spans="16:16" x14ac:dyDescent="0.25">
      <c r="P185" s="186"/>
    </row>
    <row r="186" spans="16:16" x14ac:dyDescent="0.25">
      <c r="P186" s="186"/>
    </row>
    <row r="187" spans="16:16" x14ac:dyDescent="0.25">
      <c r="P187" s="186"/>
    </row>
    <row r="188" spans="16:16" x14ac:dyDescent="0.25">
      <c r="P188" s="186"/>
    </row>
    <row r="189" spans="16:16" x14ac:dyDescent="0.25">
      <c r="P189" s="186"/>
    </row>
    <row r="190" spans="16:16" x14ac:dyDescent="0.25">
      <c r="P190" s="186"/>
    </row>
    <row r="191" spans="16:16" x14ac:dyDescent="0.25">
      <c r="P191" s="186"/>
    </row>
    <row r="192" spans="16:16" x14ac:dyDescent="0.25">
      <c r="P192" s="186"/>
    </row>
    <row r="193" spans="16:16" x14ac:dyDescent="0.25">
      <c r="P193" s="186"/>
    </row>
    <row r="194" spans="16:16" x14ac:dyDescent="0.25">
      <c r="P194" s="186"/>
    </row>
    <row r="195" spans="16:16" x14ac:dyDescent="0.25">
      <c r="P195" s="186"/>
    </row>
    <row r="196" spans="16:16" x14ac:dyDescent="0.25">
      <c r="P196" s="186"/>
    </row>
    <row r="197" spans="16:16" x14ac:dyDescent="0.25">
      <c r="P197" s="186"/>
    </row>
    <row r="198" spans="16:16" x14ac:dyDescent="0.25">
      <c r="P198" s="186"/>
    </row>
    <row r="199" spans="16:16" x14ac:dyDescent="0.25">
      <c r="P199" s="186"/>
    </row>
    <row r="200" spans="16:16" x14ac:dyDescent="0.25">
      <c r="P200" s="186"/>
    </row>
    <row r="201" spans="16:16" x14ac:dyDescent="0.25">
      <c r="P201" s="186"/>
    </row>
    <row r="202" spans="16:16" x14ac:dyDescent="0.25">
      <c r="P202" s="186"/>
    </row>
    <row r="203" spans="16:16" x14ac:dyDescent="0.25">
      <c r="P203" s="186"/>
    </row>
    <row r="204" spans="16:16" x14ac:dyDescent="0.25">
      <c r="P204" s="186"/>
    </row>
    <row r="205" spans="16:16" x14ac:dyDescent="0.25">
      <c r="P205" s="186"/>
    </row>
    <row r="206" spans="16:16" x14ac:dyDescent="0.25">
      <c r="P206" s="186"/>
    </row>
    <row r="207" spans="16:16" x14ac:dyDescent="0.25">
      <c r="P207" s="186"/>
    </row>
    <row r="208" spans="16:16" x14ac:dyDescent="0.25">
      <c r="P208" s="186"/>
    </row>
    <row r="209" spans="16:16" x14ac:dyDescent="0.25">
      <c r="P209" s="186"/>
    </row>
    <row r="210" spans="16:16" x14ac:dyDescent="0.25">
      <c r="P210" s="186"/>
    </row>
    <row r="211" spans="16:16" x14ac:dyDescent="0.25">
      <c r="P211" s="186"/>
    </row>
    <row r="212" spans="16:16" x14ac:dyDescent="0.25">
      <c r="P212" s="186"/>
    </row>
    <row r="213" spans="16:16" x14ac:dyDescent="0.25">
      <c r="P213" s="186"/>
    </row>
    <row r="214" spans="16:16" x14ac:dyDescent="0.25">
      <c r="P214" s="186"/>
    </row>
    <row r="215" spans="16:16" x14ac:dyDescent="0.25">
      <c r="P215" s="186"/>
    </row>
    <row r="216" spans="16:16" x14ac:dyDescent="0.25">
      <c r="P216" s="186"/>
    </row>
    <row r="217" spans="16:16" x14ac:dyDescent="0.25">
      <c r="P217" s="186"/>
    </row>
    <row r="218" spans="16:16" x14ac:dyDescent="0.25">
      <c r="P218" s="186"/>
    </row>
    <row r="219" spans="16:16" x14ac:dyDescent="0.25">
      <c r="P219" s="186"/>
    </row>
    <row r="220" spans="16:16" x14ac:dyDescent="0.25">
      <c r="P220" s="186"/>
    </row>
    <row r="221" spans="16:16" x14ac:dyDescent="0.25">
      <c r="P221" s="186"/>
    </row>
    <row r="222" spans="16:16" x14ac:dyDescent="0.25">
      <c r="P222" s="186"/>
    </row>
    <row r="223" spans="16:16" x14ac:dyDescent="0.25">
      <c r="P223" s="186"/>
    </row>
    <row r="224" spans="16:16" x14ac:dyDescent="0.25">
      <c r="P224" s="186"/>
    </row>
    <row r="225" spans="16:16" x14ac:dyDescent="0.25">
      <c r="P225" s="186"/>
    </row>
    <row r="226" spans="16:16" x14ac:dyDescent="0.25">
      <c r="P226" s="186"/>
    </row>
    <row r="227" spans="16:16" x14ac:dyDescent="0.25">
      <c r="P227" s="186"/>
    </row>
    <row r="228" spans="16:16" x14ac:dyDescent="0.25">
      <c r="P228" s="186"/>
    </row>
    <row r="229" spans="16:16" x14ac:dyDescent="0.25">
      <c r="P229" s="186"/>
    </row>
    <row r="230" spans="16:16" x14ac:dyDescent="0.25">
      <c r="P230" s="186"/>
    </row>
    <row r="231" spans="16:16" x14ac:dyDescent="0.25">
      <c r="P231" s="186"/>
    </row>
    <row r="232" spans="16:16" x14ac:dyDescent="0.25">
      <c r="P232" s="186"/>
    </row>
    <row r="233" spans="16:16" x14ac:dyDescent="0.25">
      <c r="P233" s="186"/>
    </row>
    <row r="234" spans="16:16" x14ac:dyDescent="0.25">
      <c r="P234" s="186"/>
    </row>
    <row r="235" spans="16:16" x14ac:dyDescent="0.25">
      <c r="P235" s="186"/>
    </row>
    <row r="236" spans="16:16" x14ac:dyDescent="0.25">
      <c r="P236" s="186"/>
    </row>
    <row r="237" spans="16:16" x14ac:dyDescent="0.25">
      <c r="P237" s="186"/>
    </row>
    <row r="238" spans="16:16" x14ac:dyDescent="0.25">
      <c r="P238" s="186"/>
    </row>
    <row r="239" spans="16:16" x14ac:dyDescent="0.25">
      <c r="P239" s="186"/>
    </row>
    <row r="240" spans="16:16" x14ac:dyDescent="0.25">
      <c r="P240" s="186"/>
    </row>
    <row r="241" spans="16:16" x14ac:dyDescent="0.25">
      <c r="P241" s="186"/>
    </row>
    <row r="242" spans="16:16" x14ac:dyDescent="0.25">
      <c r="P242" s="186"/>
    </row>
    <row r="243" spans="16:16" x14ac:dyDescent="0.25">
      <c r="P243" s="186"/>
    </row>
    <row r="244" spans="16:16" x14ac:dyDescent="0.25">
      <c r="P244" s="186"/>
    </row>
    <row r="245" spans="16:16" x14ac:dyDescent="0.25">
      <c r="P245" s="186"/>
    </row>
    <row r="246" spans="16:16" x14ac:dyDescent="0.25">
      <c r="P246" s="186"/>
    </row>
    <row r="247" spans="16:16" x14ac:dyDescent="0.25">
      <c r="P247" s="186"/>
    </row>
    <row r="248" spans="16:16" x14ac:dyDescent="0.25">
      <c r="P248" s="186"/>
    </row>
    <row r="249" spans="16:16" x14ac:dyDescent="0.25">
      <c r="P249" s="186"/>
    </row>
    <row r="250" spans="16:16" x14ac:dyDescent="0.25">
      <c r="P250" s="186"/>
    </row>
    <row r="251" spans="16:16" x14ac:dyDescent="0.25">
      <c r="P251" s="186"/>
    </row>
    <row r="252" spans="16:16" x14ac:dyDescent="0.25">
      <c r="P252" s="186"/>
    </row>
    <row r="253" spans="16:16" x14ac:dyDescent="0.25">
      <c r="P253" s="186"/>
    </row>
    <row r="254" spans="16:16" x14ac:dyDescent="0.25">
      <c r="P254" s="186"/>
    </row>
    <row r="255" spans="16:16" x14ac:dyDescent="0.25">
      <c r="P255" s="186"/>
    </row>
    <row r="256" spans="16:16" x14ac:dyDescent="0.25">
      <c r="P256" s="186"/>
    </row>
    <row r="257" spans="16:16" x14ac:dyDescent="0.25">
      <c r="P257" s="186"/>
    </row>
    <row r="258" spans="16:16" x14ac:dyDescent="0.25">
      <c r="P258" s="186"/>
    </row>
    <row r="259" spans="16:16" x14ac:dyDescent="0.25">
      <c r="P259" s="186"/>
    </row>
    <row r="260" spans="16:16" x14ac:dyDescent="0.25">
      <c r="P260" s="186"/>
    </row>
    <row r="261" spans="16:16" x14ac:dyDescent="0.25">
      <c r="P261" s="186"/>
    </row>
    <row r="262" spans="16:16" x14ac:dyDescent="0.25">
      <c r="P262" s="186"/>
    </row>
    <row r="263" spans="16:16" x14ac:dyDescent="0.25">
      <c r="P263" s="186"/>
    </row>
    <row r="264" spans="16:16" x14ac:dyDescent="0.25">
      <c r="P264" s="186"/>
    </row>
    <row r="265" spans="16:16" x14ac:dyDescent="0.25">
      <c r="P265" s="186"/>
    </row>
    <row r="266" spans="16:16" x14ac:dyDescent="0.25">
      <c r="P266" s="186"/>
    </row>
    <row r="267" spans="16:16" x14ac:dyDescent="0.25">
      <c r="P267" s="186"/>
    </row>
    <row r="268" spans="16:16" x14ac:dyDescent="0.25">
      <c r="P268" s="186"/>
    </row>
    <row r="269" spans="16:16" x14ac:dyDescent="0.25">
      <c r="P269" s="186"/>
    </row>
    <row r="270" spans="16:16" x14ac:dyDescent="0.25">
      <c r="P270" s="186"/>
    </row>
    <row r="271" spans="16:16" x14ac:dyDescent="0.25">
      <c r="P271" s="186"/>
    </row>
    <row r="272" spans="16:16" x14ac:dyDescent="0.25">
      <c r="P272" s="186"/>
    </row>
    <row r="273" spans="16:16" x14ac:dyDescent="0.25">
      <c r="P273" s="186"/>
    </row>
    <row r="274" spans="16:16" x14ac:dyDescent="0.25">
      <c r="P274" s="186"/>
    </row>
    <row r="275" spans="16:16" x14ac:dyDescent="0.25">
      <c r="P275" s="186"/>
    </row>
    <row r="276" spans="16:16" x14ac:dyDescent="0.25">
      <c r="P276" s="186"/>
    </row>
    <row r="277" spans="16:16" x14ac:dyDescent="0.25">
      <c r="P277" s="186"/>
    </row>
    <row r="278" spans="16:16" x14ac:dyDescent="0.25">
      <c r="P278" s="186"/>
    </row>
    <row r="279" spans="16:16" x14ac:dyDescent="0.25">
      <c r="P279" s="186"/>
    </row>
    <row r="280" spans="16:16" x14ac:dyDescent="0.25">
      <c r="P280" s="186"/>
    </row>
    <row r="281" spans="16:16" x14ac:dyDescent="0.25">
      <c r="P281" s="186"/>
    </row>
    <row r="282" spans="16:16" x14ac:dyDescent="0.25">
      <c r="P282" s="186"/>
    </row>
    <row r="283" spans="16:16" x14ac:dyDescent="0.25">
      <c r="P283" s="186"/>
    </row>
    <row r="284" spans="16:16" x14ac:dyDescent="0.25">
      <c r="P284" s="186"/>
    </row>
    <row r="285" spans="16:16" x14ac:dyDescent="0.25">
      <c r="P285" s="186"/>
    </row>
  </sheetData>
  <mergeCells count="39">
    <mergeCell ref="A1:L1"/>
    <mergeCell ref="A3:L3"/>
    <mergeCell ref="A6:L6"/>
    <mergeCell ref="A7:L7"/>
    <mergeCell ref="C8:G8"/>
    <mergeCell ref="H8:K8"/>
    <mergeCell ref="A9:A10"/>
    <mergeCell ref="B9:B10"/>
    <mergeCell ref="C9:C10"/>
    <mergeCell ref="D9:D10"/>
    <mergeCell ref="E9:E10"/>
    <mergeCell ref="J9:J10"/>
    <mergeCell ref="K9:K10"/>
    <mergeCell ref="B75:C75"/>
    <mergeCell ref="D75:F75"/>
    <mergeCell ref="G75:H75"/>
    <mergeCell ref="C73:I73"/>
    <mergeCell ref="F9:F10"/>
    <mergeCell ref="G9:G10"/>
    <mergeCell ref="H9:H10"/>
    <mergeCell ref="I9:I10"/>
    <mergeCell ref="B76:C76"/>
    <mergeCell ref="D76:F76"/>
    <mergeCell ref="G76:H76"/>
    <mergeCell ref="B77:C77"/>
    <mergeCell ref="D77:F77"/>
    <mergeCell ref="G77:H77"/>
    <mergeCell ref="B78:C78"/>
    <mergeCell ref="D78:F78"/>
    <mergeCell ref="G78:H78"/>
    <mergeCell ref="C86:D86"/>
    <mergeCell ref="I86:J86"/>
    <mergeCell ref="B79:C79"/>
    <mergeCell ref="D79:F79"/>
    <mergeCell ref="G79:H79"/>
    <mergeCell ref="C82:D82"/>
    <mergeCell ref="I82:J82"/>
    <mergeCell ref="C85:D85"/>
    <mergeCell ref="I85:J85"/>
  </mergeCells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285"/>
  <sheetViews>
    <sheetView topLeftCell="A25" zoomScale="130" zoomScaleNormal="130" workbookViewId="0">
      <selection activeCell="I12" sqref="I12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24.28515625" style="165" customWidth="1"/>
    <col min="14" max="14" width="16.5703125" style="169" customWidth="1"/>
    <col min="15" max="16" width="16.5703125" style="141"/>
    <col min="17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6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N1" s="186"/>
    </row>
    <row r="2" spans="1:16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186"/>
    </row>
    <row r="3" spans="1:16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N3" s="186"/>
    </row>
    <row r="4" spans="1:16" x14ac:dyDescent="0.25">
      <c r="A4" s="3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N4" s="186"/>
    </row>
    <row r="5" spans="1:16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  <c r="N5" s="186"/>
    </row>
    <row r="6" spans="1:16" x14ac:dyDescent="0.25">
      <c r="A6" s="334" t="s">
        <v>54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N6" s="186"/>
    </row>
    <row r="7" spans="1:16" x14ac:dyDescent="0.25">
      <c r="A7" s="334" t="s">
        <v>142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N7" s="186"/>
    </row>
    <row r="8" spans="1:16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  <c r="N8" s="186"/>
    </row>
    <row r="9" spans="1:16" s="17" customFormat="1" ht="18" customHeigh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166"/>
      <c r="N9" s="187"/>
      <c r="O9" s="142"/>
      <c r="P9" s="142"/>
    </row>
    <row r="10" spans="1:16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N10" s="186"/>
      <c r="O10" s="151"/>
    </row>
    <row r="11" spans="1:16" s="17" customFormat="1" x14ac:dyDescent="0.25">
      <c r="A11" s="139" t="s">
        <v>18</v>
      </c>
      <c r="B11" s="14">
        <f>+C11</f>
        <v>10015255.1</v>
      </c>
      <c r="C11" s="14">
        <f>9779672.02+235583.08</f>
        <v>10015255.1</v>
      </c>
      <c r="D11" s="11">
        <v>400</v>
      </c>
      <c r="E11" s="14">
        <v>9734450.9199999999</v>
      </c>
      <c r="F11" s="14">
        <f>+E11/C11</f>
        <v>0.97196235370979223</v>
      </c>
      <c r="G11" s="14">
        <f>+C11+D11-E11</f>
        <v>281204.1799999997</v>
      </c>
      <c r="H11" s="11">
        <f>29717.34+423310.63+5000</f>
        <v>458027.97000000003</v>
      </c>
      <c r="I11" s="14">
        <f>145571.87+88623</f>
        <v>234194.87</v>
      </c>
      <c r="J11" s="14">
        <f>18154+392864.66</f>
        <v>411018.66</v>
      </c>
      <c r="K11" s="14">
        <f>H11+I11-J11</f>
        <v>281204.18000000011</v>
      </c>
      <c r="L11" s="15">
        <f>+F11</f>
        <v>0.97196235370979223</v>
      </c>
      <c r="M11" s="62">
        <f t="shared" ref="M11:M26" si="0">+K11-G11</f>
        <v>0</v>
      </c>
      <c r="N11" s="114"/>
      <c r="O11" s="153"/>
      <c r="P11" s="142"/>
    </row>
    <row r="12" spans="1:16" x14ac:dyDescent="0.2">
      <c r="A12" s="139" t="s">
        <v>20</v>
      </c>
      <c r="B12" s="14">
        <v>30330208</v>
      </c>
      <c r="C12" s="11">
        <v>23690680.32</v>
      </c>
      <c r="D12" s="11">
        <v>0</v>
      </c>
      <c r="E12" s="14">
        <v>23922479.52</v>
      </c>
      <c r="F12" s="14">
        <f t="shared" ref="F12:F17" si="1">+E12/C12</f>
        <v>1.0097844045366782</v>
      </c>
      <c r="G12" s="14">
        <f t="shared" ref="G12:G26" si="2">+C12+D12-E12</f>
        <v>-231799.19999999925</v>
      </c>
      <c r="H12" s="11">
        <f>30000+756990.95</f>
        <v>786990.95</v>
      </c>
      <c r="I12" s="14">
        <f>359748.05+30988.8</f>
        <v>390736.85</v>
      </c>
      <c r="J12" s="14">
        <f>709639+62764+637124</f>
        <v>1409527</v>
      </c>
      <c r="K12" s="14">
        <f t="shared" ref="K12:K21" si="3">H12+I12-J12</f>
        <v>-231799.20000000019</v>
      </c>
      <c r="L12" s="15">
        <f t="shared" ref="L12:L23" si="4">+F12</f>
        <v>1.0097844045366782</v>
      </c>
      <c r="M12" s="62">
        <f t="shared" si="0"/>
        <v>-9.3132257461547852E-10</v>
      </c>
      <c r="N12" s="189"/>
      <c r="O12" s="151"/>
    </row>
    <row r="13" spans="1:16" x14ac:dyDescent="0.2">
      <c r="A13" s="139" t="s">
        <v>21</v>
      </c>
      <c r="B13" s="14">
        <v>281207</v>
      </c>
      <c r="C13" s="11">
        <v>343182.36</v>
      </c>
      <c r="D13" s="11">
        <v>0</v>
      </c>
      <c r="E13" s="11">
        <v>288833.74</v>
      </c>
      <c r="F13" s="14">
        <f t="shared" si="1"/>
        <v>0.84163341029533101</v>
      </c>
      <c r="G13" s="14">
        <f t="shared" si="2"/>
        <v>54348.619999999995</v>
      </c>
      <c r="H13" s="11">
        <v>54348.62</v>
      </c>
      <c r="I13" s="14">
        <v>0</v>
      </c>
      <c r="J13" s="14">
        <v>0</v>
      </c>
      <c r="K13" s="14">
        <f t="shared" si="3"/>
        <v>54348.62</v>
      </c>
      <c r="L13" s="15">
        <f t="shared" si="4"/>
        <v>0.84163341029533101</v>
      </c>
      <c r="M13" s="62">
        <f t="shared" si="0"/>
        <v>0</v>
      </c>
      <c r="N13" s="116"/>
    </row>
    <row r="14" spans="1:16" x14ac:dyDescent="0.2">
      <c r="A14" s="139" t="s">
        <v>22</v>
      </c>
      <c r="B14" s="14">
        <v>573761</v>
      </c>
      <c r="C14" s="11">
        <v>507151.85</v>
      </c>
      <c r="D14" s="11">
        <v>0</v>
      </c>
      <c r="E14" s="11">
        <v>333349.92</v>
      </c>
      <c r="F14" s="14">
        <f t="shared" si="1"/>
        <v>0.65729804594028396</v>
      </c>
      <c r="G14" s="14">
        <f t="shared" si="2"/>
        <v>173801.93</v>
      </c>
      <c r="H14" s="11">
        <v>173801.93</v>
      </c>
      <c r="I14" s="14">
        <v>0</v>
      </c>
      <c r="J14" s="14">
        <v>0</v>
      </c>
      <c r="K14" s="14">
        <f t="shared" si="3"/>
        <v>173801.93</v>
      </c>
      <c r="L14" s="15">
        <f t="shared" si="4"/>
        <v>0.65729804594028396</v>
      </c>
      <c r="M14" s="62">
        <f t="shared" si="0"/>
        <v>0</v>
      </c>
      <c r="N14" s="116"/>
    </row>
    <row r="15" spans="1:16" x14ac:dyDescent="0.2">
      <c r="A15" s="139" t="s">
        <v>23</v>
      </c>
      <c r="B15" s="14">
        <v>1398350</v>
      </c>
      <c r="C15" s="11">
        <v>1186196.67</v>
      </c>
      <c r="D15" s="11">
        <v>0</v>
      </c>
      <c r="E15" s="11">
        <v>708614.1</v>
      </c>
      <c r="F15" s="14">
        <f t="shared" si="1"/>
        <v>0.59738331587122062</v>
      </c>
      <c r="G15" s="14">
        <f t="shared" si="2"/>
        <v>477582.56999999995</v>
      </c>
      <c r="H15" s="11">
        <v>551573.16</v>
      </c>
      <c r="I15" s="14">
        <v>0</v>
      </c>
      <c r="J15" s="14">
        <v>73990.59</v>
      </c>
      <c r="K15" s="14">
        <f t="shared" si="3"/>
        <v>477582.57000000007</v>
      </c>
      <c r="L15" s="15">
        <f t="shared" si="4"/>
        <v>0.59738331587122062</v>
      </c>
      <c r="M15" s="62">
        <f t="shared" si="0"/>
        <v>0</v>
      </c>
      <c r="N15" s="190"/>
    </row>
    <row r="16" spans="1:16" x14ac:dyDescent="0.2">
      <c r="A16" s="139" t="s">
        <v>24</v>
      </c>
      <c r="B16" s="14">
        <v>14692367</v>
      </c>
      <c r="C16" s="11">
        <v>14083051.51</v>
      </c>
      <c r="D16" s="11">
        <v>0</v>
      </c>
      <c r="E16" s="14">
        <v>13746698.42</v>
      </c>
      <c r="F16" s="14">
        <f t="shared" si="1"/>
        <v>0.97611646241859129</v>
      </c>
      <c r="G16" s="14">
        <f t="shared" si="2"/>
        <v>336353.08999999985</v>
      </c>
      <c r="H16" s="11">
        <v>866414.12</v>
      </c>
      <c r="I16" s="14">
        <f>0+8000</f>
        <v>8000</v>
      </c>
      <c r="J16" s="14">
        <f>358630+2000+177431.03</f>
        <v>538061.03</v>
      </c>
      <c r="K16" s="14">
        <f t="shared" si="3"/>
        <v>336353.08999999997</v>
      </c>
      <c r="L16" s="15">
        <f t="shared" si="4"/>
        <v>0.97611646241859129</v>
      </c>
      <c r="M16" s="62">
        <f t="shared" si="0"/>
        <v>0</v>
      </c>
      <c r="N16" s="190"/>
      <c r="O16" s="151"/>
    </row>
    <row r="17" spans="1:18" x14ac:dyDescent="0.2">
      <c r="A17" s="139" t="s">
        <v>25</v>
      </c>
      <c r="B17" s="14">
        <v>1081241</v>
      </c>
      <c r="C17" s="11">
        <v>1397810.64</v>
      </c>
      <c r="D17" s="11">
        <v>0</v>
      </c>
      <c r="E17" s="14">
        <v>991820.59</v>
      </c>
      <c r="F17" s="14">
        <f t="shared" si="1"/>
        <v>0.70955289766573826</v>
      </c>
      <c r="G17" s="14">
        <f t="shared" si="2"/>
        <v>405990.04999999993</v>
      </c>
      <c r="H17" s="11">
        <v>405990.05</v>
      </c>
      <c r="I17" s="14">
        <v>0</v>
      </c>
      <c r="J17" s="14">
        <v>0</v>
      </c>
      <c r="K17" s="14">
        <f t="shared" si="3"/>
        <v>405990.05</v>
      </c>
      <c r="L17" s="15">
        <f t="shared" si="4"/>
        <v>0.70955289766573826</v>
      </c>
      <c r="M17" s="62">
        <f t="shared" si="0"/>
        <v>0</v>
      </c>
      <c r="N17" s="190"/>
    </row>
    <row r="18" spans="1:18" x14ac:dyDescent="0.2">
      <c r="A18" s="139" t="s">
        <v>53</v>
      </c>
      <c r="B18" s="14">
        <v>688065.66</v>
      </c>
      <c r="C18" s="11">
        <v>887363.87</v>
      </c>
      <c r="D18" s="11">
        <v>0</v>
      </c>
      <c r="E18" s="11">
        <v>651043.92000000004</v>
      </c>
      <c r="F18" s="14">
        <v>0</v>
      </c>
      <c r="G18" s="14">
        <f t="shared" si="2"/>
        <v>236319.94999999995</v>
      </c>
      <c r="H18" s="11">
        <v>236319.95</v>
      </c>
      <c r="I18" s="14">
        <v>0</v>
      </c>
      <c r="J18" s="14">
        <v>0</v>
      </c>
      <c r="K18" s="14">
        <f t="shared" si="3"/>
        <v>236319.95</v>
      </c>
      <c r="L18" s="15">
        <f t="shared" si="4"/>
        <v>0</v>
      </c>
      <c r="M18" s="62">
        <f t="shared" si="0"/>
        <v>0</v>
      </c>
      <c r="N18" s="190"/>
    </row>
    <row r="19" spans="1:18" x14ac:dyDescent="0.2">
      <c r="A19" s="139" t="s">
        <v>27</v>
      </c>
      <c r="B19" s="14">
        <v>0</v>
      </c>
      <c r="C19" s="11">
        <v>0</v>
      </c>
      <c r="D19" s="11">
        <v>0</v>
      </c>
      <c r="E19" s="11">
        <v>0</v>
      </c>
      <c r="F19" s="14">
        <v>0</v>
      </c>
      <c r="G19" s="14">
        <f t="shared" si="2"/>
        <v>0</v>
      </c>
      <c r="H19" s="11">
        <v>0</v>
      </c>
      <c r="I19" s="14">
        <v>0</v>
      </c>
      <c r="J19" s="14">
        <v>0</v>
      </c>
      <c r="K19" s="14">
        <f t="shared" si="3"/>
        <v>0</v>
      </c>
      <c r="L19" s="15">
        <f t="shared" si="4"/>
        <v>0</v>
      </c>
      <c r="M19" s="62">
        <f t="shared" si="0"/>
        <v>0</v>
      </c>
      <c r="N19" s="190"/>
    </row>
    <row r="20" spans="1:18" x14ac:dyDescent="0.2">
      <c r="A20" s="139" t="s">
        <v>28</v>
      </c>
      <c r="B20" s="14">
        <v>60011</v>
      </c>
      <c r="C20" s="11">
        <v>55010.61</v>
      </c>
      <c r="D20" s="11">
        <v>0</v>
      </c>
      <c r="E20" s="11">
        <v>36692.129999999997</v>
      </c>
      <c r="F20" s="14">
        <v>0</v>
      </c>
      <c r="G20" s="14">
        <f t="shared" si="2"/>
        <v>18318.480000000003</v>
      </c>
      <c r="H20" s="11">
        <v>18318.48</v>
      </c>
      <c r="I20" s="14">
        <v>0</v>
      </c>
      <c r="J20" s="14">
        <v>0</v>
      </c>
      <c r="K20" s="14">
        <f t="shared" si="3"/>
        <v>18318.48</v>
      </c>
      <c r="L20" s="15">
        <f t="shared" si="4"/>
        <v>0</v>
      </c>
      <c r="M20" s="62">
        <f t="shared" si="0"/>
        <v>0</v>
      </c>
      <c r="N20" s="152"/>
    </row>
    <row r="21" spans="1:18" ht="27" x14ac:dyDescent="0.2">
      <c r="A21" s="139" t="s">
        <v>136</v>
      </c>
      <c r="B21" s="14">
        <v>506205</v>
      </c>
      <c r="C21" s="11">
        <v>2006205</v>
      </c>
      <c r="D21" s="11">
        <v>598.05999999999995</v>
      </c>
      <c r="E21" s="11">
        <v>987982.57</v>
      </c>
      <c r="F21" s="14"/>
      <c r="G21" s="14">
        <f t="shared" si="2"/>
        <v>1018820.4900000001</v>
      </c>
      <c r="H21" s="11">
        <v>342104.49</v>
      </c>
      <c r="I21" s="14">
        <f>665000+11716</f>
        <v>676716</v>
      </c>
      <c r="J21" s="14">
        <v>0</v>
      </c>
      <c r="K21" s="14">
        <f t="shared" si="3"/>
        <v>1018820.49</v>
      </c>
      <c r="L21" s="15">
        <f t="shared" si="4"/>
        <v>0</v>
      </c>
      <c r="M21" s="62">
        <f t="shared" si="0"/>
        <v>0</v>
      </c>
      <c r="N21" s="152"/>
    </row>
    <row r="22" spans="1:18" x14ac:dyDescent="0.2">
      <c r="A22" s="139" t="s">
        <v>29</v>
      </c>
      <c r="B22" s="14">
        <v>2935059</v>
      </c>
      <c r="C22" s="11">
        <v>29358059</v>
      </c>
      <c r="D22" s="11">
        <v>612744.09</v>
      </c>
      <c r="E22" s="11">
        <v>0</v>
      </c>
      <c r="F22" s="14">
        <f>+E22/C22</f>
        <v>0</v>
      </c>
      <c r="G22" s="14">
        <f t="shared" si="2"/>
        <v>29970803.09</v>
      </c>
      <c r="H22" s="11">
        <v>27332446.41</v>
      </c>
      <c r="I22" s="14">
        <v>2638356.6800000002</v>
      </c>
      <c r="J22" s="14">
        <v>0</v>
      </c>
      <c r="K22" s="14">
        <f>H22+I22-J22</f>
        <v>29970803.09</v>
      </c>
      <c r="L22" s="15">
        <f t="shared" si="4"/>
        <v>0</v>
      </c>
      <c r="M22" s="62">
        <f t="shared" si="0"/>
        <v>0</v>
      </c>
      <c r="N22" s="152"/>
    </row>
    <row r="23" spans="1:18" x14ac:dyDescent="0.2">
      <c r="A23" s="139" t="s">
        <v>30</v>
      </c>
      <c r="B23" s="14">
        <v>22883119</v>
      </c>
      <c r="C23" s="11">
        <v>21144837.670000002</v>
      </c>
      <c r="D23" s="11">
        <v>0</v>
      </c>
      <c r="E23" s="14">
        <v>20730528.129999999</v>
      </c>
      <c r="F23" s="14">
        <f>+E23/C23</f>
        <v>0.9804061139429876</v>
      </c>
      <c r="G23" s="14">
        <f t="shared" si="2"/>
        <v>414309.54000000283</v>
      </c>
      <c r="H23" s="11">
        <v>1372903.66</v>
      </c>
      <c r="I23" s="14">
        <f>126703.99+44770</f>
        <v>171473.99</v>
      </c>
      <c r="J23" s="14">
        <f>114954+1015114.11</f>
        <v>1130068.1099999999</v>
      </c>
      <c r="K23" s="14">
        <f>H23+I23-J23</f>
        <v>414309.54000000004</v>
      </c>
      <c r="L23" s="15">
        <f t="shared" si="4"/>
        <v>0.9804061139429876</v>
      </c>
      <c r="M23" s="107">
        <f t="shared" si="0"/>
        <v>-2.7939677238464355E-9</v>
      </c>
      <c r="N23" s="157"/>
      <c r="Q23" s="141"/>
      <c r="R23" s="144"/>
    </row>
    <row r="24" spans="1:18" x14ac:dyDescent="0.2">
      <c r="A24" s="139" t="s">
        <v>57</v>
      </c>
      <c r="B24" s="11">
        <v>1483495.05</v>
      </c>
      <c r="C24" s="11">
        <v>1483495.05</v>
      </c>
      <c r="D24" s="11">
        <v>4241.95</v>
      </c>
      <c r="E24" s="14">
        <v>0</v>
      </c>
      <c r="F24" s="14">
        <f>+E24/C24</f>
        <v>0</v>
      </c>
      <c r="G24" s="14">
        <f t="shared" si="2"/>
        <v>1487737</v>
      </c>
      <c r="H24" s="11">
        <v>26230.79</v>
      </c>
      <c r="I24" s="14">
        <v>1461506.21</v>
      </c>
      <c r="J24" s="14">
        <v>0</v>
      </c>
      <c r="K24" s="14">
        <f>H24+I24-J24</f>
        <v>1487737</v>
      </c>
      <c r="L24" s="15">
        <f>+F24</f>
        <v>0</v>
      </c>
      <c r="M24" s="107">
        <f t="shared" si="0"/>
        <v>0</v>
      </c>
      <c r="N24" s="157"/>
      <c r="Q24" s="141"/>
      <c r="R24" s="144"/>
    </row>
    <row r="25" spans="1:18" x14ac:dyDescent="0.2">
      <c r="A25" s="139" t="s">
        <v>139</v>
      </c>
      <c r="B25" s="14">
        <v>1364024.1</v>
      </c>
      <c r="C25" s="14">
        <v>1364024.1</v>
      </c>
      <c r="D25" s="11">
        <v>940.83</v>
      </c>
      <c r="E25" s="14">
        <v>0</v>
      </c>
      <c r="F25" s="14">
        <f>+E25/C25</f>
        <v>0</v>
      </c>
      <c r="G25" s="14">
        <f t="shared" si="2"/>
        <v>1364964.9300000002</v>
      </c>
      <c r="H25" s="11">
        <v>1369964.93</v>
      </c>
      <c r="I25" s="14">
        <v>0</v>
      </c>
      <c r="J25" s="14">
        <v>5000</v>
      </c>
      <c r="K25" s="14">
        <f>H25+I25-J25</f>
        <v>1364964.93</v>
      </c>
      <c r="L25" s="15">
        <f>+F25</f>
        <v>0</v>
      </c>
      <c r="M25" s="107">
        <f t="shared" si="0"/>
        <v>0</v>
      </c>
      <c r="N25" s="157"/>
      <c r="Q25" s="141"/>
      <c r="R25" s="144"/>
    </row>
    <row r="26" spans="1:18" ht="40.5" x14ac:dyDescent="0.2">
      <c r="A26" s="139" t="s">
        <v>135</v>
      </c>
      <c r="B26" s="14">
        <f>+C26</f>
        <v>200000</v>
      </c>
      <c r="C26" s="11">
        <v>200000</v>
      </c>
      <c r="D26" s="11">
        <v>101.37</v>
      </c>
      <c r="E26" s="14">
        <v>145431</v>
      </c>
      <c r="F26" s="14">
        <f>+E26/C26</f>
        <v>0.727155</v>
      </c>
      <c r="G26" s="14">
        <f t="shared" si="2"/>
        <v>54670.369999999995</v>
      </c>
      <c r="H26" s="11">
        <v>54556.85</v>
      </c>
      <c r="I26" s="14">
        <f>180000+5000</f>
        <v>185000</v>
      </c>
      <c r="J26" s="14">
        <f>102106.79+5000+77779.69</f>
        <v>184886.47999999998</v>
      </c>
      <c r="K26" s="14">
        <f>H26+I26-J26</f>
        <v>54670.370000000024</v>
      </c>
      <c r="L26" s="15">
        <f>+F26</f>
        <v>0.727155</v>
      </c>
      <c r="M26" s="107">
        <f t="shared" si="0"/>
        <v>0</v>
      </c>
      <c r="N26" s="157"/>
      <c r="Q26" s="141"/>
      <c r="R26" s="144"/>
    </row>
    <row r="27" spans="1:18" s="5" customFormat="1" x14ac:dyDescent="0.2">
      <c r="A27" s="20" t="s">
        <v>60</v>
      </c>
      <c r="B27" s="21">
        <f t="shared" ref="B27:K27" si="5">SUM(B11:B26)</f>
        <v>88492367.909999982</v>
      </c>
      <c r="C27" s="21">
        <f t="shared" si="5"/>
        <v>107722323.75</v>
      </c>
      <c r="D27" s="21">
        <f t="shared" si="5"/>
        <v>619026.29999999993</v>
      </c>
      <c r="E27" s="21">
        <f t="shared" si="5"/>
        <v>72277924.960000008</v>
      </c>
      <c r="F27" s="21">
        <f t="shared" si="5"/>
        <v>7.4712920043806239</v>
      </c>
      <c r="G27" s="21">
        <f t="shared" si="5"/>
        <v>36063425.090000004</v>
      </c>
      <c r="H27" s="21">
        <f t="shared" si="5"/>
        <v>34049992.359999999</v>
      </c>
      <c r="I27" s="21">
        <f t="shared" si="5"/>
        <v>5765984.6000000006</v>
      </c>
      <c r="J27" s="21">
        <f t="shared" si="5"/>
        <v>3752551.87</v>
      </c>
      <c r="K27" s="21">
        <f t="shared" si="5"/>
        <v>36063425.089999996</v>
      </c>
      <c r="L27" s="23"/>
      <c r="M27" s="118">
        <f>SUM(M11:M26)</f>
        <v>-3.7252902984619141E-9</v>
      </c>
      <c r="N27" s="203"/>
      <c r="O27" s="143"/>
      <c r="P27" s="143"/>
    </row>
    <row r="28" spans="1:18" s="17" customFormat="1" x14ac:dyDescent="0.25">
      <c r="A28" s="139" t="s">
        <v>18</v>
      </c>
      <c r="B28" s="10">
        <v>9668787.5</v>
      </c>
      <c r="C28" s="10">
        <f>+B28-8808992.11</f>
        <v>859795.3900000006</v>
      </c>
      <c r="D28" s="11">
        <v>0</v>
      </c>
      <c r="E28" s="10">
        <v>126202.22</v>
      </c>
      <c r="F28" s="12">
        <f>+E28/C28</f>
        <v>0.14678168953662327</v>
      </c>
      <c r="G28" s="109">
        <f t="shared" ref="G28:G41" si="6">+C28+D28-E28</f>
        <v>733593.17000000062</v>
      </c>
      <c r="H28" s="11">
        <v>760336.44</v>
      </c>
      <c r="I28" s="14">
        <f>35750.7+49054.32+10000+17400</f>
        <v>112205.01999999999</v>
      </c>
      <c r="J28" s="14">
        <f>42293+3275.91+3277.52+90101.86</f>
        <v>138948.29</v>
      </c>
      <c r="K28" s="14">
        <f>H28+I28-J28</f>
        <v>733593.16999999993</v>
      </c>
      <c r="L28" s="15">
        <f>+F28</f>
        <v>0.14678168953662327</v>
      </c>
      <c r="M28" s="62">
        <f t="shared" ref="M28:M41" si="7">+K28-G28</f>
        <v>0</v>
      </c>
      <c r="N28" s="188"/>
      <c r="O28" s="153"/>
      <c r="P28" s="142"/>
    </row>
    <row r="29" spans="1:18" x14ac:dyDescent="0.2">
      <c r="A29" s="139" t="s">
        <v>20</v>
      </c>
      <c r="B29" s="10">
        <v>27138333.23</v>
      </c>
      <c r="C29" s="10">
        <f>+B29-26415966.23</f>
        <v>722367</v>
      </c>
      <c r="D29" s="11">
        <v>0</v>
      </c>
      <c r="E29" s="10">
        <v>827988.6</v>
      </c>
      <c r="F29" s="12">
        <f t="shared" ref="F29:F34" si="8">+E29/C29</f>
        <v>1.1462159816270676</v>
      </c>
      <c r="G29" s="10">
        <f t="shared" si="6"/>
        <v>-105621.59999999998</v>
      </c>
      <c r="H29" s="13">
        <v>1247074.73</v>
      </c>
      <c r="I29" s="14">
        <f>171846+1000</f>
        <v>172846</v>
      </c>
      <c r="J29" s="14">
        <f>1307677+16708.93+21550.06+179606.34</f>
        <v>1525542.33</v>
      </c>
      <c r="K29" s="14">
        <f t="shared" ref="K29:K36" si="9">H29+I29-J29</f>
        <v>-105621.60000000009</v>
      </c>
      <c r="L29" s="15">
        <f t="shared" ref="L29:L41" si="10">+F29</f>
        <v>1.1462159816270676</v>
      </c>
      <c r="M29" s="62">
        <f t="shared" si="7"/>
        <v>-1.1641532182693481E-10</v>
      </c>
      <c r="N29" s="184"/>
      <c r="O29" s="151"/>
    </row>
    <row r="30" spans="1:18" x14ac:dyDescent="0.2">
      <c r="A30" s="139" t="s">
        <v>21</v>
      </c>
      <c r="B30" s="10">
        <v>321506.03999999998</v>
      </c>
      <c r="C30" s="10">
        <f>+B30-280892.37</f>
        <v>40613.669999999984</v>
      </c>
      <c r="D30" s="11">
        <v>0</v>
      </c>
      <c r="E30" s="11">
        <v>40613.67</v>
      </c>
      <c r="F30" s="12">
        <f t="shared" si="8"/>
        <v>1.0000000000000004</v>
      </c>
      <c r="G30" s="109">
        <f t="shared" si="6"/>
        <v>0</v>
      </c>
      <c r="H30" s="13">
        <v>0</v>
      </c>
      <c r="I30" s="14">
        <v>0</v>
      </c>
      <c r="J30" s="14">
        <v>0</v>
      </c>
      <c r="K30" s="14">
        <f t="shared" si="9"/>
        <v>0</v>
      </c>
      <c r="L30" s="15">
        <f t="shared" si="10"/>
        <v>1.0000000000000004</v>
      </c>
      <c r="M30" s="62">
        <f t="shared" si="7"/>
        <v>0</v>
      </c>
      <c r="N30" s="183"/>
    </row>
    <row r="31" spans="1:18" x14ac:dyDescent="0.2">
      <c r="A31" s="139" t="s">
        <v>22</v>
      </c>
      <c r="B31" s="10">
        <v>570803.89</v>
      </c>
      <c r="C31" s="10">
        <f>+B31-491970.23</f>
        <v>78833.660000000033</v>
      </c>
      <c r="D31" s="11">
        <v>0</v>
      </c>
      <c r="E31" s="11">
        <v>78833.66</v>
      </c>
      <c r="F31" s="12">
        <f t="shared" si="8"/>
        <v>0.99999999999999967</v>
      </c>
      <c r="G31" s="109">
        <f t="shared" si="6"/>
        <v>0</v>
      </c>
      <c r="H31" s="13">
        <v>0</v>
      </c>
      <c r="I31" s="14">
        <v>0</v>
      </c>
      <c r="J31" s="14">
        <v>0</v>
      </c>
      <c r="K31" s="14">
        <f t="shared" si="9"/>
        <v>0</v>
      </c>
      <c r="L31" s="15">
        <f t="shared" si="10"/>
        <v>0.99999999999999967</v>
      </c>
      <c r="M31" s="62">
        <f t="shared" si="7"/>
        <v>0</v>
      </c>
      <c r="N31" s="183"/>
    </row>
    <row r="32" spans="1:18" x14ac:dyDescent="0.2">
      <c r="A32" s="139" t="s">
        <v>23</v>
      </c>
      <c r="B32" s="10">
        <v>1307693.44</v>
      </c>
      <c r="C32" s="10">
        <f>+B32-1273287.15</f>
        <v>34406.290000000037</v>
      </c>
      <c r="D32" s="11">
        <v>0</v>
      </c>
      <c r="E32" s="11">
        <v>34406.29</v>
      </c>
      <c r="F32" s="12">
        <f t="shared" si="8"/>
        <v>0.99999999999999889</v>
      </c>
      <c r="G32" s="109">
        <f t="shared" si="6"/>
        <v>0</v>
      </c>
      <c r="H32" s="13">
        <v>0</v>
      </c>
      <c r="I32" s="14">
        <v>0</v>
      </c>
      <c r="J32" s="14">
        <v>0</v>
      </c>
      <c r="K32" s="14">
        <f t="shared" si="9"/>
        <v>0</v>
      </c>
      <c r="L32" s="15">
        <f t="shared" si="10"/>
        <v>0.99999999999999889</v>
      </c>
      <c r="M32" s="62">
        <f t="shared" si="7"/>
        <v>0</v>
      </c>
      <c r="N32" s="183"/>
    </row>
    <row r="33" spans="1:18" x14ac:dyDescent="0.2">
      <c r="A33" s="139" t="s">
        <v>24</v>
      </c>
      <c r="B33" s="10">
        <v>14234360.859999999</v>
      </c>
      <c r="C33" s="10">
        <f>+B33-14197791.76</f>
        <v>36569.099999999627</v>
      </c>
      <c r="D33" s="11">
        <v>0</v>
      </c>
      <c r="E33" s="10">
        <v>208.8</v>
      </c>
      <c r="F33" s="12">
        <f t="shared" si="8"/>
        <v>5.7097385497592813E-3</v>
      </c>
      <c r="G33" s="109">
        <f t="shared" si="6"/>
        <v>36360.299999999625</v>
      </c>
      <c r="H33" s="13">
        <v>-340080.7</v>
      </c>
      <c r="I33" s="14">
        <v>782752</v>
      </c>
      <c r="J33" s="14">
        <f>280823+125488</f>
        <v>406311</v>
      </c>
      <c r="K33" s="14">
        <f t="shared" si="9"/>
        <v>36360.299999999988</v>
      </c>
      <c r="L33" s="15">
        <f t="shared" si="10"/>
        <v>5.7097385497592813E-3</v>
      </c>
      <c r="M33" s="62">
        <f t="shared" si="7"/>
        <v>3.637978807091713E-10</v>
      </c>
      <c r="N33" s="183"/>
      <c r="O33" s="151"/>
    </row>
    <row r="34" spans="1:18" x14ac:dyDescent="0.2">
      <c r="A34" s="139" t="s">
        <v>25</v>
      </c>
      <c r="B34" s="10">
        <v>658261.61</v>
      </c>
      <c r="C34" s="10">
        <f>+B34-367499.68</f>
        <v>290761.93</v>
      </c>
      <c r="D34" s="11">
        <v>0</v>
      </c>
      <c r="E34" s="10">
        <v>281389.86</v>
      </c>
      <c r="F34" s="12">
        <f t="shared" si="8"/>
        <v>0.96776720391146109</v>
      </c>
      <c r="G34" s="109">
        <f t="shared" si="6"/>
        <v>9372.070000000007</v>
      </c>
      <c r="H34" s="13">
        <v>56340.94</v>
      </c>
      <c r="I34" s="14">
        <v>0</v>
      </c>
      <c r="J34" s="14">
        <v>46968.87</v>
      </c>
      <c r="K34" s="14">
        <f t="shared" si="9"/>
        <v>9372.07</v>
      </c>
      <c r="L34" s="15">
        <f t="shared" si="10"/>
        <v>0.96776720391146109</v>
      </c>
      <c r="M34" s="62">
        <f t="shared" si="7"/>
        <v>0</v>
      </c>
      <c r="N34" s="183"/>
    </row>
    <row r="35" spans="1:18" x14ac:dyDescent="0.2">
      <c r="A35" s="139" t="s">
        <v>53</v>
      </c>
      <c r="B35" s="10">
        <v>158979.12</v>
      </c>
      <c r="C35" s="10">
        <f>+B35</f>
        <v>158979.12</v>
      </c>
      <c r="D35" s="11">
        <v>0</v>
      </c>
      <c r="E35" s="11">
        <v>120000</v>
      </c>
      <c r="F35" s="12">
        <v>0</v>
      </c>
      <c r="G35" s="201">
        <f t="shared" si="6"/>
        <v>38979.119999999995</v>
      </c>
      <c r="H35" s="11">
        <v>43979.12</v>
      </c>
      <c r="I35" s="14">
        <v>0</v>
      </c>
      <c r="J35" s="14">
        <v>5000</v>
      </c>
      <c r="K35" s="14">
        <f t="shared" si="9"/>
        <v>38979.120000000003</v>
      </c>
      <c r="L35" s="15">
        <f t="shared" si="10"/>
        <v>0</v>
      </c>
      <c r="M35" s="62">
        <f t="shared" si="7"/>
        <v>0</v>
      </c>
      <c r="N35" s="183"/>
    </row>
    <row r="36" spans="1:18" x14ac:dyDescent="0.2">
      <c r="A36" s="139" t="s">
        <v>28</v>
      </c>
      <c r="B36" s="10">
        <v>47798.07</v>
      </c>
      <c r="C36" s="10">
        <f>+B36-23516.14</f>
        <v>24281.93</v>
      </c>
      <c r="D36" s="11">
        <v>0</v>
      </c>
      <c r="E36" s="11">
        <v>0</v>
      </c>
      <c r="F36" s="12">
        <v>0</v>
      </c>
      <c r="G36" s="201">
        <f t="shared" si="6"/>
        <v>24281.93</v>
      </c>
      <c r="H36" s="11">
        <v>24281.93</v>
      </c>
      <c r="I36" s="14">
        <v>0</v>
      </c>
      <c r="J36" s="14">
        <v>0</v>
      </c>
      <c r="K36" s="14">
        <f t="shared" si="9"/>
        <v>24281.93</v>
      </c>
      <c r="L36" s="15">
        <f t="shared" si="10"/>
        <v>0</v>
      </c>
      <c r="M36" s="62">
        <f t="shared" si="7"/>
        <v>0</v>
      </c>
      <c r="N36" s="152"/>
    </row>
    <row r="37" spans="1:18" x14ac:dyDescent="0.2">
      <c r="A37" s="139" t="s">
        <v>29</v>
      </c>
      <c r="B37" s="10">
        <v>27972730</v>
      </c>
      <c r="C37" s="10">
        <f>+B37-27809818.06</f>
        <v>162911.94000000134</v>
      </c>
      <c r="D37" s="11">
        <v>186451.15</v>
      </c>
      <c r="E37" s="11">
        <v>0</v>
      </c>
      <c r="F37" s="12">
        <f>+E37/C37</f>
        <v>0</v>
      </c>
      <c r="G37" s="109">
        <f t="shared" si="6"/>
        <v>349363.09000000136</v>
      </c>
      <c r="H37" s="13">
        <v>656033.13</v>
      </c>
      <c r="I37" s="14">
        <f>-1</f>
        <v>-1</v>
      </c>
      <c r="J37" s="14">
        <f>219666.96+67322.53+19679.55</f>
        <v>306669.03999999998</v>
      </c>
      <c r="K37" s="14">
        <f>H37+I37-J37</f>
        <v>349363.09</v>
      </c>
      <c r="L37" s="15">
        <f t="shared" si="10"/>
        <v>0</v>
      </c>
      <c r="M37" s="62">
        <f t="shared" si="7"/>
        <v>-1.3387762010097504E-9</v>
      </c>
      <c r="N37" s="184"/>
    </row>
    <row r="38" spans="1:18" x14ac:dyDescent="0.2">
      <c r="A38" s="139" t="s">
        <v>30</v>
      </c>
      <c r="B38" s="10">
        <v>21170988.52</v>
      </c>
      <c r="C38" s="10">
        <f>+B38-21163370.79</f>
        <v>7617.730000000447</v>
      </c>
      <c r="D38" s="11">
        <v>0</v>
      </c>
      <c r="E38" s="10">
        <v>0</v>
      </c>
      <c r="F38" s="12">
        <f>+E38/C38</f>
        <v>0</v>
      </c>
      <c r="G38" s="109">
        <f t="shared" si="6"/>
        <v>7617.730000000447</v>
      </c>
      <c r="H38" s="13">
        <v>113156.96</v>
      </c>
      <c r="I38" s="14">
        <f>63664.06+25043.71</f>
        <v>88707.76999999999</v>
      </c>
      <c r="J38" s="14">
        <f>170257+6000+17990</f>
        <v>194247</v>
      </c>
      <c r="K38" s="14">
        <f>H38+I38-J38</f>
        <v>7617.7299999999814</v>
      </c>
      <c r="L38" s="15">
        <f t="shared" si="10"/>
        <v>0</v>
      </c>
      <c r="M38" s="107">
        <f t="shared" si="7"/>
        <v>-4.6566128730773926E-10</v>
      </c>
      <c r="N38" s="185"/>
      <c r="Q38" s="141"/>
      <c r="R38" s="144"/>
    </row>
    <row r="39" spans="1:18" ht="27" x14ac:dyDescent="0.2">
      <c r="A39" s="139" t="s">
        <v>56</v>
      </c>
      <c r="B39" s="10">
        <v>1500000</v>
      </c>
      <c r="C39" s="10">
        <f>1500000-1499965.2</f>
        <v>34.800000000046566</v>
      </c>
      <c r="D39" s="11">
        <v>0</v>
      </c>
      <c r="E39" s="10">
        <v>0</v>
      </c>
      <c r="F39" s="12">
        <f>+E39/C39</f>
        <v>0</v>
      </c>
      <c r="G39" s="109">
        <f t="shared" si="6"/>
        <v>34.800000000046566</v>
      </c>
      <c r="H39" s="13">
        <v>34.799999999999997</v>
      </c>
      <c r="I39" s="14">
        <v>0</v>
      </c>
      <c r="J39" s="14">
        <v>0</v>
      </c>
      <c r="K39" s="14">
        <f>H39+I39-J39</f>
        <v>34.799999999999997</v>
      </c>
      <c r="L39" s="15">
        <f t="shared" si="10"/>
        <v>0</v>
      </c>
      <c r="M39" s="107">
        <f t="shared" si="7"/>
        <v>-4.6568970901716966E-11</v>
      </c>
      <c r="N39" s="185"/>
      <c r="Q39" s="141"/>
      <c r="R39" s="144"/>
    </row>
    <row r="40" spans="1:18" x14ac:dyDescent="0.2">
      <c r="A40" s="139" t="s">
        <v>58</v>
      </c>
      <c r="B40" s="10">
        <v>8800000</v>
      </c>
      <c r="C40" s="10">
        <f>+B40-8793327.97</f>
        <v>6672.0299999993294</v>
      </c>
      <c r="D40" s="11">
        <v>0</v>
      </c>
      <c r="E40" s="10">
        <v>0</v>
      </c>
      <c r="F40" s="12">
        <f>+E40/C40</f>
        <v>0</v>
      </c>
      <c r="G40" s="109">
        <f t="shared" si="6"/>
        <v>6672.0299999993294</v>
      </c>
      <c r="H40" s="13">
        <v>136749.53</v>
      </c>
      <c r="I40" s="14">
        <v>0</v>
      </c>
      <c r="J40" s="14">
        <f>75804.55+37902.27+11370.68+5000</f>
        <v>130077.5</v>
      </c>
      <c r="K40" s="14">
        <f>H40+I40-J40</f>
        <v>6672.0299999999988</v>
      </c>
      <c r="L40" s="15">
        <f t="shared" si="10"/>
        <v>0</v>
      </c>
      <c r="M40" s="107">
        <f t="shared" si="7"/>
        <v>6.6938810050487518E-10</v>
      </c>
      <c r="N40" s="185"/>
      <c r="Q40" s="141"/>
      <c r="R40" s="144"/>
    </row>
    <row r="41" spans="1:18" x14ac:dyDescent="0.2">
      <c r="A41" s="139" t="s">
        <v>57</v>
      </c>
      <c r="B41" s="10">
        <v>3362600</v>
      </c>
      <c r="C41" s="10">
        <f>+B41-3361389.36</f>
        <v>1210.6400000001304</v>
      </c>
      <c r="D41" s="11">
        <v>0</v>
      </c>
      <c r="E41" s="10">
        <v>0</v>
      </c>
      <c r="F41" s="12">
        <f>+E41/C41</f>
        <v>0</v>
      </c>
      <c r="G41" s="109">
        <f t="shared" si="6"/>
        <v>1210.6400000001304</v>
      </c>
      <c r="H41" s="13">
        <v>54023.49</v>
      </c>
      <c r="I41" s="14">
        <v>0</v>
      </c>
      <c r="J41" s="14">
        <f>28977.48+14488.74+4346.63+5000</f>
        <v>52812.85</v>
      </c>
      <c r="K41" s="14">
        <f>H41+I41-J41</f>
        <v>1210.6399999999994</v>
      </c>
      <c r="L41" s="15">
        <f t="shared" si="10"/>
        <v>0</v>
      </c>
      <c r="M41" s="107">
        <f t="shared" si="7"/>
        <v>-1.3096723705530167E-10</v>
      </c>
      <c r="N41" s="185"/>
      <c r="Q41" s="141"/>
      <c r="R41" s="144"/>
    </row>
    <row r="42" spans="1:18" s="5" customFormat="1" x14ac:dyDescent="0.2">
      <c r="A42" s="20" t="s">
        <v>51</v>
      </c>
      <c r="B42" s="21">
        <f t="shared" ref="B42:K42" si="11">SUM(B28:B38)</f>
        <v>103250242.27999999</v>
      </c>
      <c r="C42" s="21">
        <f t="shared" si="11"/>
        <v>2417137.7600000021</v>
      </c>
      <c r="D42" s="21">
        <f t="shared" si="11"/>
        <v>186451.15</v>
      </c>
      <c r="E42" s="21">
        <f t="shared" si="11"/>
        <v>1509643.1</v>
      </c>
      <c r="F42" s="21">
        <f t="shared" si="11"/>
        <v>5.2664746136249105</v>
      </c>
      <c r="G42" s="21">
        <f t="shared" si="11"/>
        <v>1093945.8100000019</v>
      </c>
      <c r="H42" s="21">
        <f t="shared" si="11"/>
        <v>2561122.5499999998</v>
      </c>
      <c r="I42" s="21">
        <f t="shared" si="11"/>
        <v>1156509.79</v>
      </c>
      <c r="J42" s="21">
        <f t="shared" si="11"/>
        <v>2623686.5300000003</v>
      </c>
      <c r="K42" s="21">
        <f t="shared" si="11"/>
        <v>1093945.8099999998</v>
      </c>
      <c r="L42" s="23"/>
      <c r="M42" s="61"/>
      <c r="N42" s="203"/>
      <c r="O42" s="143"/>
      <c r="P42" s="143"/>
    </row>
    <row r="43" spans="1:18" s="17" customFormat="1" x14ac:dyDescent="0.25">
      <c r="A43" s="139" t="s">
        <v>18</v>
      </c>
      <c r="B43" s="10">
        <f>+C43</f>
        <v>557287.6400000006</v>
      </c>
      <c r="C43" s="10">
        <f>9497181.34-8522902.7-416991</f>
        <v>557287.6400000006</v>
      </c>
      <c r="D43" s="11">
        <v>0</v>
      </c>
      <c r="E43" s="10">
        <v>2038.23</v>
      </c>
      <c r="F43" s="12">
        <f>+E43/C43</f>
        <v>3.657411099230548E-3</v>
      </c>
      <c r="G43" s="10">
        <f>+C43+D43-E43</f>
        <v>555249.41000000061</v>
      </c>
      <c r="H43" s="13">
        <f>362224.72-0.47</f>
        <v>362224.25</v>
      </c>
      <c r="I43" s="14">
        <f>22013.2+172259.48</f>
        <v>194272.68000000002</v>
      </c>
      <c r="J43" s="14">
        <f>-4302.52+5550.04</f>
        <v>1247.5199999999995</v>
      </c>
      <c r="K43" s="14">
        <f>H43+I43-J43</f>
        <v>555249.41</v>
      </c>
      <c r="L43" s="15">
        <f>+F43</f>
        <v>3.657411099230548E-3</v>
      </c>
      <c r="M43" s="155">
        <f t="shared" ref="M43:M52" si="12">+K43-G43</f>
        <v>0</v>
      </c>
      <c r="N43" s="202"/>
      <c r="O43" s="142"/>
      <c r="P43" s="142"/>
    </row>
    <row r="44" spans="1:18" x14ac:dyDescent="0.2">
      <c r="A44" s="139" t="s">
        <v>20</v>
      </c>
      <c r="B44" s="10">
        <v>0</v>
      </c>
      <c r="C44" s="10">
        <f>981063.54-174602.54</f>
        <v>806461</v>
      </c>
      <c r="D44" s="11">
        <v>0</v>
      </c>
      <c r="E44" s="10">
        <v>0</v>
      </c>
      <c r="F44" s="12">
        <f t="shared" ref="F44:F53" si="13">+E44/C44</f>
        <v>0</v>
      </c>
      <c r="G44" s="10">
        <f>+C44+D44-E44</f>
        <v>806461</v>
      </c>
      <c r="H44" s="13">
        <v>1795340.56</v>
      </c>
      <c r="I44" s="14">
        <v>1162</v>
      </c>
      <c r="J44" s="14">
        <f>272555.03+160187.53+557299</f>
        <v>990041.56</v>
      </c>
      <c r="K44" s="14">
        <f t="shared" ref="K44:K69" si="14">H44+I44-J44</f>
        <v>806461</v>
      </c>
      <c r="L44" s="15">
        <f t="shared" ref="L44:L53" si="15">+F44</f>
        <v>0</v>
      </c>
      <c r="M44" s="62">
        <f>+K44-G44</f>
        <v>0</v>
      </c>
      <c r="N44" s="205"/>
    </row>
    <row r="45" spans="1:18" x14ac:dyDescent="0.2">
      <c r="A45" s="139" t="s">
        <v>21</v>
      </c>
      <c r="B45" s="10">
        <f t="shared" ref="B45:B53" si="16">+C45</f>
        <v>465.82999999998719</v>
      </c>
      <c r="C45" s="10">
        <f>266576.99-80893-185218.16</f>
        <v>465.82999999998719</v>
      </c>
      <c r="D45" s="11">
        <v>0</v>
      </c>
      <c r="E45" s="10">
        <v>0</v>
      </c>
      <c r="F45" s="12">
        <f t="shared" si="13"/>
        <v>0</v>
      </c>
      <c r="G45" s="10">
        <f>+C45+D45-E45</f>
        <v>465.82999999998719</v>
      </c>
      <c r="H45" s="13">
        <v>465.83</v>
      </c>
      <c r="I45" s="14">
        <v>0</v>
      </c>
      <c r="J45" s="14">
        <v>0</v>
      </c>
      <c r="K45" s="14">
        <f t="shared" si="14"/>
        <v>465.83</v>
      </c>
      <c r="L45" s="15">
        <f t="shared" si="15"/>
        <v>0</v>
      </c>
      <c r="M45" s="155">
        <f t="shared" si="12"/>
        <v>1.2789769243681803E-11</v>
      </c>
      <c r="N45" s="183"/>
    </row>
    <row r="46" spans="1:18" x14ac:dyDescent="0.2">
      <c r="A46" s="139" t="s">
        <v>22</v>
      </c>
      <c r="B46" s="10">
        <f t="shared" si="16"/>
        <v>6067.4599999999627</v>
      </c>
      <c r="C46" s="10">
        <f>375412.66-201977-167368.2</f>
        <v>6067.4599999999627</v>
      </c>
      <c r="D46" s="10">
        <v>149.51</v>
      </c>
      <c r="E46" s="10">
        <v>0</v>
      </c>
      <c r="F46" s="12">
        <f t="shared" si="13"/>
        <v>0</v>
      </c>
      <c r="G46" s="10">
        <f t="shared" ref="G46:G51" si="17">+C46+D46-E46</f>
        <v>6216.969999999963</v>
      </c>
      <c r="H46" s="13">
        <v>6216.97</v>
      </c>
      <c r="I46" s="14">
        <v>0</v>
      </c>
      <c r="J46" s="14">
        <v>0</v>
      </c>
      <c r="K46" s="14">
        <f t="shared" si="14"/>
        <v>6216.97</v>
      </c>
      <c r="L46" s="15">
        <f t="shared" si="15"/>
        <v>0</v>
      </c>
      <c r="M46" s="62">
        <f t="shared" si="12"/>
        <v>3.7289282772690058E-11</v>
      </c>
      <c r="N46" s="183"/>
    </row>
    <row r="47" spans="1:18" x14ac:dyDescent="0.2">
      <c r="A47" s="139" t="s">
        <v>23</v>
      </c>
      <c r="B47" s="10">
        <f t="shared" si="16"/>
        <v>17016.04999999993</v>
      </c>
      <c r="C47" s="10">
        <f>1302246.39-788192.61-497037.73</f>
        <v>17016.04999999993</v>
      </c>
      <c r="D47" s="10">
        <v>408.58</v>
      </c>
      <c r="E47" s="10">
        <v>0</v>
      </c>
      <c r="F47" s="12">
        <f t="shared" si="13"/>
        <v>0</v>
      </c>
      <c r="G47" s="10">
        <f t="shared" si="17"/>
        <v>17424.629999999932</v>
      </c>
      <c r="H47" s="13">
        <v>17424.63</v>
      </c>
      <c r="I47" s="14">
        <v>0</v>
      </c>
      <c r="J47" s="14">
        <v>0</v>
      </c>
      <c r="K47" s="14">
        <f t="shared" si="14"/>
        <v>17424.63</v>
      </c>
      <c r="L47" s="15">
        <f t="shared" si="15"/>
        <v>0</v>
      </c>
      <c r="M47" s="155">
        <f t="shared" si="12"/>
        <v>6.9121597334742546E-11</v>
      </c>
      <c r="N47" s="183"/>
    </row>
    <row r="48" spans="1:18" x14ac:dyDescent="0.2">
      <c r="A48" s="139" t="s">
        <v>24</v>
      </c>
      <c r="B48" s="10">
        <f t="shared" si="16"/>
        <v>412246.5499999997</v>
      </c>
      <c r="C48" s="10">
        <f>13636634.35-13212786.17-11601.63</f>
        <v>412246.5499999997</v>
      </c>
      <c r="D48" s="11">
        <v>-459</v>
      </c>
      <c r="E48" s="10">
        <v>0</v>
      </c>
      <c r="F48" s="12">
        <f t="shared" si="13"/>
        <v>0</v>
      </c>
      <c r="G48" s="10">
        <f>+C48+D48-E48</f>
        <v>411787.5499999997</v>
      </c>
      <c r="H48" s="13">
        <v>37530.339999999997</v>
      </c>
      <c r="I48" s="14">
        <v>456237</v>
      </c>
      <c r="J48" s="14">
        <f>52394.42+7312.79+22272.58</f>
        <v>81979.790000000008</v>
      </c>
      <c r="K48" s="14">
        <f t="shared" si="14"/>
        <v>411787.54999999993</v>
      </c>
      <c r="L48" s="15">
        <f t="shared" si="15"/>
        <v>0</v>
      </c>
      <c r="M48" s="62">
        <f t="shared" si="12"/>
        <v>0</v>
      </c>
      <c r="N48" s="183"/>
    </row>
    <row r="49" spans="1:16" x14ac:dyDescent="0.2">
      <c r="A49" s="139" t="s">
        <v>25</v>
      </c>
      <c r="B49" s="10">
        <f t="shared" si="16"/>
        <v>5151.3900000000722</v>
      </c>
      <c r="C49" s="10">
        <f>868753.03-542712.97-320888.67</f>
        <v>5151.3900000000722</v>
      </c>
      <c r="D49" s="10">
        <v>131.31</v>
      </c>
      <c r="E49" s="10">
        <v>0</v>
      </c>
      <c r="F49" s="12">
        <f t="shared" si="13"/>
        <v>0</v>
      </c>
      <c r="G49" s="10">
        <f t="shared" si="17"/>
        <v>5282.7000000000726</v>
      </c>
      <c r="H49" s="13">
        <v>5282.7</v>
      </c>
      <c r="I49" s="14">
        <v>0</v>
      </c>
      <c r="J49" s="14">
        <v>0</v>
      </c>
      <c r="K49" s="14">
        <f t="shared" si="14"/>
        <v>5282.7</v>
      </c>
      <c r="L49" s="15">
        <f t="shared" si="15"/>
        <v>0</v>
      </c>
      <c r="M49" s="155">
        <f t="shared" si="12"/>
        <v>-7.2759576141834259E-11</v>
      </c>
      <c r="N49" s="183"/>
    </row>
    <row r="50" spans="1:16" x14ac:dyDescent="0.2">
      <c r="A50" s="139" t="s">
        <v>27</v>
      </c>
      <c r="B50" s="10">
        <f t="shared" si="16"/>
        <v>3767.3699999999953</v>
      </c>
      <c r="C50" s="10">
        <f>573447.69-569680.32</f>
        <v>3767.3699999999953</v>
      </c>
      <c r="D50" s="11">
        <v>0</v>
      </c>
      <c r="E50" s="10">
        <v>0</v>
      </c>
      <c r="F50" s="12">
        <f t="shared" si="13"/>
        <v>0</v>
      </c>
      <c r="G50" s="10">
        <f t="shared" si="17"/>
        <v>3767.3699999999953</v>
      </c>
      <c r="H50" s="13">
        <v>3767.37</v>
      </c>
      <c r="I50" s="14">
        <v>0</v>
      </c>
      <c r="J50" s="14">
        <v>0</v>
      </c>
      <c r="K50" s="14">
        <f t="shared" si="14"/>
        <v>3767.37</v>
      </c>
      <c r="L50" s="15">
        <f t="shared" si="15"/>
        <v>0</v>
      </c>
      <c r="M50" s="62">
        <f t="shared" si="12"/>
        <v>4.5474735088646412E-12</v>
      </c>
      <c r="N50" s="183"/>
    </row>
    <row r="51" spans="1:16" x14ac:dyDescent="0.2">
      <c r="A51" s="139" t="s">
        <v>28</v>
      </c>
      <c r="B51" s="10">
        <f t="shared" si="16"/>
        <v>542.31999999999971</v>
      </c>
      <c r="C51" s="10">
        <f>36484.65-0-35942.33</f>
        <v>542.31999999999971</v>
      </c>
      <c r="D51" s="11">
        <v>0</v>
      </c>
      <c r="E51" s="10">
        <v>0</v>
      </c>
      <c r="F51" s="12">
        <f t="shared" si="13"/>
        <v>0</v>
      </c>
      <c r="G51" s="10">
        <f t="shared" si="17"/>
        <v>542.31999999999971</v>
      </c>
      <c r="H51" s="13">
        <v>542.32000000000005</v>
      </c>
      <c r="I51" s="14">
        <v>0</v>
      </c>
      <c r="J51" s="14">
        <v>0</v>
      </c>
      <c r="K51" s="14">
        <f t="shared" si="14"/>
        <v>542.32000000000005</v>
      </c>
      <c r="L51" s="15">
        <f t="shared" si="15"/>
        <v>0</v>
      </c>
      <c r="M51" s="155">
        <f t="shared" si="12"/>
        <v>0</v>
      </c>
      <c r="N51" s="183"/>
    </row>
    <row r="52" spans="1:16" x14ac:dyDescent="0.2">
      <c r="A52" s="139" t="s">
        <v>29</v>
      </c>
      <c r="B52" s="10">
        <f>+C52</f>
        <v>489577.01999999862</v>
      </c>
      <c r="C52" s="10">
        <f>25804148.7-21535015.98-3779555.7</f>
        <v>489577.01999999862</v>
      </c>
      <c r="D52" s="45"/>
      <c r="E52" s="10">
        <v>0</v>
      </c>
      <c r="F52" s="12">
        <f t="shared" si="13"/>
        <v>0</v>
      </c>
      <c r="G52" s="10">
        <f>+C52+D52-E52</f>
        <v>489577.01999999862</v>
      </c>
      <c r="H52" s="13">
        <f>2255525.44-1688966.46</f>
        <v>566558.98</v>
      </c>
      <c r="I52" s="14">
        <v>122706.07</v>
      </c>
      <c r="J52" s="14">
        <f>20016.25+99956.62+61086.68+18628.48</f>
        <v>199688.03</v>
      </c>
      <c r="K52" s="14">
        <f>H52+I52-J52</f>
        <v>489577.02</v>
      </c>
      <c r="L52" s="15">
        <f t="shared" si="15"/>
        <v>0</v>
      </c>
      <c r="M52" s="62">
        <f t="shared" si="12"/>
        <v>1.3969838619232178E-9</v>
      </c>
      <c r="N52" s="184"/>
    </row>
    <row r="53" spans="1:16" x14ac:dyDescent="0.2">
      <c r="A53" s="139" t="s">
        <v>30</v>
      </c>
      <c r="B53" s="10">
        <f t="shared" si="16"/>
        <v>193749.02000000025</v>
      </c>
      <c r="C53" s="10">
        <f>19272341-17976826.68-1101765.3</f>
        <v>193749.02000000025</v>
      </c>
      <c r="D53" s="10">
        <v>4227.0200000000004</v>
      </c>
      <c r="E53" s="10">
        <v>0</v>
      </c>
      <c r="F53" s="12">
        <f t="shared" si="13"/>
        <v>0</v>
      </c>
      <c r="G53" s="10">
        <f>+C53+D53-E53</f>
        <v>197976.04000000024</v>
      </c>
      <c r="H53" s="13">
        <v>171700.75</v>
      </c>
      <c r="I53" s="14">
        <v>296402</v>
      </c>
      <c r="J53" s="14">
        <f>26299+244312.48</f>
        <v>270611.48</v>
      </c>
      <c r="K53" s="14">
        <f>H53+I53-J53</f>
        <v>197491.27000000002</v>
      </c>
      <c r="L53" s="15">
        <f t="shared" si="15"/>
        <v>0</v>
      </c>
      <c r="M53" s="155">
        <f>+K53-G53</f>
        <v>-484.77000000022235</v>
      </c>
      <c r="N53" s="185"/>
    </row>
    <row r="54" spans="1:16" s="5" customFormat="1" x14ac:dyDescent="0.2">
      <c r="A54" s="20" t="s">
        <v>33</v>
      </c>
      <c r="B54" s="21">
        <f>SUM(B43:B53)</f>
        <v>1685870.649999999</v>
      </c>
      <c r="C54" s="21">
        <f>SUM(C43:C53)</f>
        <v>2492331.6499999994</v>
      </c>
      <c r="D54" s="21">
        <f>SUM(D43:D53)</f>
        <v>4457.42</v>
      </c>
      <c r="E54" s="21">
        <f>SUM(E43:E53)</f>
        <v>2038.23</v>
      </c>
      <c r="F54" s="22">
        <f>+E54/C54</f>
        <v>8.178004721000917E-4</v>
      </c>
      <c r="G54" s="21">
        <f>SUM(G43:G53)</f>
        <v>2494750.8399999989</v>
      </c>
      <c r="H54" s="21">
        <f>SUM(H43:H53)</f>
        <v>2967054.7</v>
      </c>
      <c r="I54" s="21">
        <f>SUM(I43:I53)</f>
        <v>1070779.75</v>
      </c>
      <c r="J54" s="21">
        <f>SUM(J43:J53)</f>
        <v>1543568.3800000001</v>
      </c>
      <c r="K54" s="21">
        <f>SUM(K43:K53)</f>
        <v>2494266.0700000003</v>
      </c>
      <c r="L54" s="23"/>
      <c r="M54" s="62">
        <f t="shared" ref="M54:M70" si="18">+K54-G54</f>
        <v>-484.76999999862164</v>
      </c>
      <c r="N54" s="204"/>
      <c r="O54" s="143"/>
      <c r="P54" s="143"/>
    </row>
    <row r="55" spans="1:16" x14ac:dyDescent="0.2">
      <c r="A55" s="139" t="s">
        <v>34</v>
      </c>
      <c r="B55" s="10">
        <v>0</v>
      </c>
      <c r="C55" s="10">
        <v>256006.06</v>
      </c>
      <c r="D55" s="13">
        <v>440.75</v>
      </c>
      <c r="E55" s="10">
        <v>0</v>
      </c>
      <c r="F55" s="12">
        <v>0</v>
      </c>
      <c r="G55" s="10">
        <f>+C55+D55-E55</f>
        <v>256446.81</v>
      </c>
      <c r="H55" s="10">
        <v>238695.02</v>
      </c>
      <c r="I55" s="10">
        <v>30099.8</v>
      </c>
      <c r="J55" s="10">
        <v>12348.01</v>
      </c>
      <c r="K55" s="10">
        <f t="shared" si="14"/>
        <v>256446.81</v>
      </c>
      <c r="L55" s="15"/>
      <c r="M55" s="62">
        <f t="shared" si="18"/>
        <v>0</v>
      </c>
      <c r="N55" s="183"/>
    </row>
    <row r="56" spans="1:16" x14ac:dyDescent="0.2">
      <c r="A56" s="20" t="s">
        <v>35</v>
      </c>
      <c r="B56" s="25">
        <f t="shared" ref="B56:K56" si="19">SUM(B55:B55)</f>
        <v>0</v>
      </c>
      <c r="C56" s="25">
        <f t="shared" si="19"/>
        <v>256006.06</v>
      </c>
      <c r="D56" s="25">
        <f t="shared" si="19"/>
        <v>440.75</v>
      </c>
      <c r="E56" s="25">
        <f t="shared" si="19"/>
        <v>0</v>
      </c>
      <c r="F56" s="25">
        <f t="shared" si="19"/>
        <v>0</v>
      </c>
      <c r="G56" s="25">
        <f t="shared" si="19"/>
        <v>256446.81</v>
      </c>
      <c r="H56" s="25">
        <f t="shared" si="19"/>
        <v>238695.02</v>
      </c>
      <c r="I56" s="25">
        <f t="shared" si="19"/>
        <v>30099.8</v>
      </c>
      <c r="J56" s="25">
        <f t="shared" si="19"/>
        <v>12348.01</v>
      </c>
      <c r="K56" s="25">
        <f t="shared" si="19"/>
        <v>256446.81</v>
      </c>
      <c r="L56" s="27"/>
      <c r="M56" s="62">
        <f t="shared" si="18"/>
        <v>0</v>
      </c>
      <c r="N56" s="183"/>
    </row>
    <row r="57" spans="1:16" x14ac:dyDescent="0.2">
      <c r="A57" s="139" t="s">
        <v>18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0.47</v>
      </c>
      <c r="H57" s="10">
        <v>0.47</v>
      </c>
      <c r="I57" s="10">
        <v>0</v>
      </c>
      <c r="J57" s="10">
        <v>0</v>
      </c>
      <c r="K57" s="10">
        <f t="shared" si="14"/>
        <v>0.47</v>
      </c>
      <c r="L57" s="15"/>
      <c r="M57" s="62">
        <f t="shared" si="18"/>
        <v>0</v>
      </c>
      <c r="N57" s="183"/>
    </row>
    <row r="58" spans="1:16" x14ac:dyDescent="0.2">
      <c r="A58" s="139" t="s">
        <v>29</v>
      </c>
      <c r="B58" s="10">
        <v>0</v>
      </c>
      <c r="C58" s="10">
        <v>0</v>
      </c>
      <c r="D58" s="10">
        <v>0</v>
      </c>
      <c r="E58" s="10">
        <v>0</v>
      </c>
      <c r="F58" s="12">
        <v>0</v>
      </c>
      <c r="G58" s="10">
        <v>17.399999999999999</v>
      </c>
      <c r="H58" s="10">
        <v>17.399999999999999</v>
      </c>
      <c r="I58" s="10"/>
      <c r="J58" s="10">
        <v>0</v>
      </c>
      <c r="K58" s="10">
        <f t="shared" si="14"/>
        <v>17.399999999999999</v>
      </c>
      <c r="L58" s="15"/>
      <c r="M58" s="62">
        <f t="shared" si="18"/>
        <v>0</v>
      </c>
      <c r="N58" s="183"/>
    </row>
    <row r="59" spans="1:16" x14ac:dyDescent="0.2">
      <c r="A59" s="20" t="s">
        <v>37</v>
      </c>
      <c r="B59" s="25">
        <f t="shared" ref="B59:K59" si="20">SUM(B57:B58)</f>
        <v>0</v>
      </c>
      <c r="C59" s="25">
        <f t="shared" si="20"/>
        <v>0</v>
      </c>
      <c r="D59" s="25">
        <f t="shared" si="20"/>
        <v>0</v>
      </c>
      <c r="E59" s="25">
        <f t="shared" si="20"/>
        <v>0</v>
      </c>
      <c r="F59" s="25">
        <f t="shared" si="20"/>
        <v>0</v>
      </c>
      <c r="G59" s="25">
        <f t="shared" si="20"/>
        <v>17.869999999999997</v>
      </c>
      <c r="H59" s="25">
        <f t="shared" si="20"/>
        <v>17.869999999999997</v>
      </c>
      <c r="I59" s="25">
        <f t="shared" si="20"/>
        <v>0</v>
      </c>
      <c r="J59" s="25">
        <f t="shared" si="20"/>
        <v>0</v>
      </c>
      <c r="K59" s="25">
        <f t="shared" si="20"/>
        <v>17.869999999999997</v>
      </c>
      <c r="L59" s="27"/>
      <c r="M59" s="62">
        <f>+K59-G59</f>
        <v>0</v>
      </c>
      <c r="N59" s="183"/>
    </row>
    <row r="60" spans="1:16" x14ac:dyDescent="0.2">
      <c r="A60" s="139" t="s">
        <v>18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1392</v>
      </c>
      <c r="H60" s="10">
        <v>1392</v>
      </c>
      <c r="I60" s="10">
        <v>0</v>
      </c>
      <c r="J60" s="10">
        <v>0</v>
      </c>
      <c r="K60" s="10">
        <f t="shared" si="14"/>
        <v>1392</v>
      </c>
      <c r="L60" s="15"/>
      <c r="M60" s="62">
        <f t="shared" si="18"/>
        <v>0</v>
      </c>
      <c r="N60" s="183"/>
    </row>
    <row r="61" spans="1:16" x14ac:dyDescent="0.2">
      <c r="A61" s="139" t="s">
        <v>20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382.8</v>
      </c>
      <c r="H61" s="10">
        <v>382.8</v>
      </c>
      <c r="I61" s="10">
        <v>0</v>
      </c>
      <c r="J61" s="10">
        <v>0</v>
      </c>
      <c r="K61" s="10">
        <f t="shared" si="14"/>
        <v>382.8</v>
      </c>
      <c r="L61" s="15"/>
      <c r="M61" s="62">
        <f t="shared" si="18"/>
        <v>0</v>
      </c>
      <c r="N61" s="183"/>
    </row>
    <row r="62" spans="1:16" x14ac:dyDescent="0.2">
      <c r="A62" s="139" t="s">
        <v>29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242057.67</v>
      </c>
      <c r="H62" s="10">
        <v>242057.67</v>
      </c>
      <c r="I62" s="10">
        <v>0</v>
      </c>
      <c r="J62" s="10">
        <v>0</v>
      </c>
      <c r="K62" s="10">
        <f t="shared" si="14"/>
        <v>242057.67</v>
      </c>
      <c r="L62" s="15"/>
      <c r="M62" s="62">
        <f t="shared" si="18"/>
        <v>0</v>
      </c>
      <c r="N62" s="183"/>
    </row>
    <row r="63" spans="1:16" x14ac:dyDescent="0.2">
      <c r="A63" s="20" t="s">
        <v>38</v>
      </c>
      <c r="B63" s="25">
        <f t="shared" ref="B63:K63" si="21">SUM(B60:B62)</f>
        <v>0</v>
      </c>
      <c r="C63" s="25">
        <f t="shared" si="21"/>
        <v>0</v>
      </c>
      <c r="D63" s="25">
        <f t="shared" si="21"/>
        <v>0</v>
      </c>
      <c r="E63" s="25">
        <f t="shared" si="21"/>
        <v>0</v>
      </c>
      <c r="F63" s="25">
        <f t="shared" si="21"/>
        <v>0</v>
      </c>
      <c r="G63" s="25">
        <f t="shared" si="21"/>
        <v>243832.47</v>
      </c>
      <c r="H63" s="25">
        <f t="shared" si="21"/>
        <v>243832.47</v>
      </c>
      <c r="I63" s="25">
        <f t="shared" si="21"/>
        <v>0</v>
      </c>
      <c r="J63" s="25">
        <f t="shared" si="21"/>
        <v>0</v>
      </c>
      <c r="K63" s="25">
        <f t="shared" si="21"/>
        <v>243832.47</v>
      </c>
      <c r="L63" s="27"/>
      <c r="M63" s="62">
        <f t="shared" si="18"/>
        <v>0</v>
      </c>
      <c r="N63" s="183"/>
    </row>
    <row r="64" spans="1:16" x14ac:dyDescent="0.2">
      <c r="A64" s="139" t="s">
        <v>36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-10</v>
      </c>
      <c r="H64" s="10">
        <v>-10</v>
      </c>
      <c r="I64" s="10">
        <v>0</v>
      </c>
      <c r="J64" s="10">
        <v>0</v>
      </c>
      <c r="K64" s="10">
        <f t="shared" si="14"/>
        <v>-10</v>
      </c>
      <c r="L64" s="15"/>
      <c r="M64" s="62">
        <f t="shared" si="18"/>
        <v>0</v>
      </c>
      <c r="N64" s="183"/>
    </row>
    <row r="65" spans="1:14" x14ac:dyDescent="0.2">
      <c r="A65" s="139" t="s">
        <v>20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219.47</v>
      </c>
      <c r="H65" s="10">
        <v>219.47</v>
      </c>
      <c r="I65" s="10">
        <v>0</v>
      </c>
      <c r="J65" s="10">
        <v>0</v>
      </c>
      <c r="K65" s="10">
        <f t="shared" si="14"/>
        <v>219.47</v>
      </c>
      <c r="L65" s="15"/>
      <c r="M65" s="62">
        <f t="shared" si="18"/>
        <v>0</v>
      </c>
      <c r="N65" s="183"/>
    </row>
    <row r="66" spans="1:14" x14ac:dyDescent="0.2">
      <c r="A66" s="139" t="s">
        <v>24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1150.8900000000001</v>
      </c>
      <c r="H66" s="10">
        <v>42631.81</v>
      </c>
      <c r="I66" s="10">
        <v>412765.08</v>
      </c>
      <c r="J66" s="10">
        <v>454246</v>
      </c>
      <c r="K66" s="10">
        <f t="shared" si="14"/>
        <v>1150.890000000014</v>
      </c>
      <c r="L66" s="15"/>
      <c r="M66" s="62">
        <f t="shared" si="18"/>
        <v>1.3869794202037156E-11</v>
      </c>
      <c r="N66" s="183"/>
    </row>
    <row r="67" spans="1:14" x14ac:dyDescent="0.2">
      <c r="A67" s="139" t="s">
        <v>25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719.87</v>
      </c>
      <c r="H67" s="10">
        <v>719.87</v>
      </c>
      <c r="I67" s="10">
        <v>0</v>
      </c>
      <c r="J67" s="10">
        <v>0</v>
      </c>
      <c r="K67" s="10">
        <f t="shared" si="14"/>
        <v>719.87</v>
      </c>
      <c r="L67" s="15"/>
      <c r="M67" s="62">
        <f t="shared" si="18"/>
        <v>0</v>
      </c>
      <c r="N67" s="183"/>
    </row>
    <row r="68" spans="1:14" x14ac:dyDescent="0.2">
      <c r="A68" s="139" t="s">
        <v>27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267528.84000000003</v>
      </c>
      <c r="H68" s="10">
        <v>0</v>
      </c>
      <c r="I68" s="10">
        <v>267528.84000000003</v>
      </c>
      <c r="J68" s="10">
        <v>0</v>
      </c>
      <c r="K68" s="10">
        <f t="shared" si="14"/>
        <v>267528.84000000003</v>
      </c>
      <c r="L68" s="15"/>
      <c r="M68" s="62">
        <f t="shared" si="18"/>
        <v>0</v>
      </c>
      <c r="N68" s="183"/>
    </row>
    <row r="69" spans="1:14" x14ac:dyDescent="0.2">
      <c r="A69" s="139" t="s">
        <v>29</v>
      </c>
      <c r="B69" s="10">
        <v>0</v>
      </c>
      <c r="C69" s="10">
        <v>0</v>
      </c>
      <c r="D69" s="10"/>
      <c r="E69" s="10">
        <v>0</v>
      </c>
      <c r="F69" s="12">
        <v>0</v>
      </c>
      <c r="G69" s="10">
        <v>236767.4</v>
      </c>
      <c r="H69" s="10">
        <v>243581.68</v>
      </c>
      <c r="I69" s="10">
        <v>0</v>
      </c>
      <c r="J69" s="10">
        <f>2827.74+3986.54</f>
        <v>6814.28</v>
      </c>
      <c r="K69" s="10">
        <f t="shared" si="14"/>
        <v>236767.4</v>
      </c>
      <c r="L69" s="15"/>
      <c r="M69" s="62">
        <f t="shared" si="18"/>
        <v>0</v>
      </c>
      <c r="N69" s="183"/>
    </row>
    <row r="70" spans="1:14" x14ac:dyDescent="0.2">
      <c r="A70" s="20" t="s">
        <v>39</v>
      </c>
      <c r="B70" s="25">
        <f t="shared" ref="B70:K70" si="22">SUM(B64:B69)</f>
        <v>0</v>
      </c>
      <c r="C70" s="25">
        <f t="shared" si="22"/>
        <v>0</v>
      </c>
      <c r="D70" s="25">
        <f t="shared" si="22"/>
        <v>0</v>
      </c>
      <c r="E70" s="25">
        <f t="shared" si="22"/>
        <v>0</v>
      </c>
      <c r="F70" s="25">
        <f t="shared" si="22"/>
        <v>0</v>
      </c>
      <c r="G70" s="25">
        <f t="shared" si="22"/>
        <v>506376.47</v>
      </c>
      <c r="H70" s="25">
        <f t="shared" si="22"/>
        <v>287142.83</v>
      </c>
      <c r="I70" s="25">
        <f t="shared" si="22"/>
        <v>680293.92</v>
      </c>
      <c r="J70" s="25">
        <f t="shared" si="22"/>
        <v>461060.28</v>
      </c>
      <c r="K70" s="25">
        <f t="shared" si="22"/>
        <v>506376.47000000009</v>
      </c>
      <c r="L70" s="27"/>
      <c r="M70" s="62">
        <f t="shared" si="18"/>
        <v>0</v>
      </c>
      <c r="N70" s="183"/>
    </row>
    <row r="71" spans="1:14" x14ac:dyDescent="0.25">
      <c r="A71" s="20" t="s">
        <v>44</v>
      </c>
      <c r="B71" s="25">
        <f t="shared" ref="B71:K71" si="23">+B42+B54+B56+B59+B63+B70</f>
        <v>104936112.92999999</v>
      </c>
      <c r="C71" s="25">
        <f t="shared" si="23"/>
        <v>5165475.4700000016</v>
      </c>
      <c r="D71" s="25">
        <f t="shared" si="23"/>
        <v>191349.32</v>
      </c>
      <c r="E71" s="25">
        <f t="shared" si="23"/>
        <v>1511681.33</v>
      </c>
      <c r="F71" s="25">
        <f t="shared" si="23"/>
        <v>5.2672924140970103</v>
      </c>
      <c r="G71" s="25">
        <f t="shared" si="23"/>
        <v>4595370.2700000014</v>
      </c>
      <c r="H71" s="25">
        <f t="shared" si="23"/>
        <v>6297865.4399999995</v>
      </c>
      <c r="I71" s="25">
        <f t="shared" si="23"/>
        <v>2937683.26</v>
      </c>
      <c r="J71" s="25">
        <f t="shared" si="23"/>
        <v>4640663.2</v>
      </c>
      <c r="K71" s="25">
        <f t="shared" si="23"/>
        <v>4594885.5</v>
      </c>
      <c r="L71" s="27"/>
      <c r="N71" s="186"/>
    </row>
    <row r="72" spans="1:14" x14ac:dyDescent="0.25">
      <c r="A72" s="28"/>
      <c r="B72" s="29"/>
      <c r="C72" s="29"/>
      <c r="D72" s="29"/>
      <c r="E72" s="28"/>
      <c r="F72" s="28"/>
      <c r="G72" s="28"/>
      <c r="H72" s="28"/>
      <c r="I72" s="28"/>
      <c r="J72" s="28"/>
      <c r="K72" s="28"/>
      <c r="L72" s="30"/>
      <c r="N72" s="186"/>
    </row>
    <row r="73" spans="1:14" x14ac:dyDescent="0.25">
      <c r="A73" s="140"/>
      <c r="B73" s="19"/>
      <c r="C73" s="333" t="s">
        <v>45</v>
      </c>
      <c r="D73" s="333"/>
      <c r="E73" s="333"/>
      <c r="F73" s="333"/>
      <c r="G73" s="333"/>
      <c r="H73" s="333"/>
      <c r="I73" s="333"/>
      <c r="J73" s="19"/>
      <c r="K73" s="19"/>
      <c r="L73" s="19"/>
      <c r="N73" s="186"/>
    </row>
    <row r="74" spans="1:14" x14ac:dyDescent="0.25">
      <c r="A74" s="140"/>
      <c r="B74" s="19"/>
      <c r="C74" s="239"/>
      <c r="D74" s="239"/>
      <c r="E74" s="239"/>
      <c r="F74" s="239"/>
      <c r="G74" s="239"/>
      <c r="H74" s="239"/>
      <c r="I74" s="239"/>
      <c r="J74" s="19"/>
      <c r="K74" s="19"/>
      <c r="L74" s="19"/>
      <c r="N74" s="186"/>
    </row>
    <row r="75" spans="1:14" x14ac:dyDescent="0.25">
      <c r="A75" s="140"/>
      <c r="B75" s="325" t="s">
        <v>46</v>
      </c>
      <c r="C75" s="325"/>
      <c r="D75" s="326" t="s">
        <v>47</v>
      </c>
      <c r="E75" s="327"/>
      <c r="F75" s="328"/>
      <c r="G75" s="320" t="s">
        <v>48</v>
      </c>
      <c r="H75" s="320"/>
      <c r="I75" s="237" t="s">
        <v>10</v>
      </c>
      <c r="J75" s="19"/>
      <c r="K75" s="19"/>
      <c r="L75" s="19"/>
      <c r="N75" s="186"/>
    </row>
    <row r="76" spans="1:14" x14ac:dyDescent="0.25">
      <c r="A76" s="140"/>
      <c r="B76" s="329" t="s">
        <v>49</v>
      </c>
      <c r="C76" s="329"/>
      <c r="D76" s="330">
        <v>9000000</v>
      </c>
      <c r="E76" s="331"/>
      <c r="F76" s="332">
        <v>0</v>
      </c>
      <c r="G76" s="330">
        <v>0</v>
      </c>
      <c r="H76" s="332"/>
      <c r="I76" s="33">
        <f>G76/D76</f>
        <v>0</v>
      </c>
      <c r="J76" s="19"/>
      <c r="K76" s="19"/>
      <c r="L76" s="19"/>
      <c r="N76" s="186"/>
    </row>
    <row r="77" spans="1:14" x14ac:dyDescent="0.25">
      <c r="A77" s="140"/>
      <c r="B77" s="320"/>
      <c r="C77" s="320"/>
      <c r="D77" s="321"/>
      <c r="E77" s="322"/>
      <c r="F77" s="323"/>
      <c r="G77" s="324"/>
      <c r="H77" s="324"/>
      <c r="I77" s="238"/>
      <c r="J77" s="19"/>
      <c r="K77" s="19"/>
      <c r="L77" s="19"/>
      <c r="N77" s="186"/>
    </row>
    <row r="78" spans="1:14" x14ac:dyDescent="0.25">
      <c r="A78" s="140"/>
      <c r="B78" s="320"/>
      <c r="C78" s="320"/>
      <c r="D78" s="321"/>
      <c r="E78" s="322"/>
      <c r="F78" s="323"/>
      <c r="G78" s="324"/>
      <c r="H78" s="324"/>
      <c r="I78" s="238"/>
      <c r="J78" s="19"/>
      <c r="K78" s="19"/>
      <c r="L78" s="19"/>
      <c r="N78" s="186"/>
    </row>
    <row r="79" spans="1:14" x14ac:dyDescent="0.25">
      <c r="A79" s="140"/>
      <c r="B79" s="320"/>
      <c r="C79" s="320"/>
      <c r="D79" s="321"/>
      <c r="E79" s="322"/>
      <c r="F79" s="323"/>
      <c r="G79" s="324"/>
      <c r="H79" s="324"/>
      <c r="I79" s="238"/>
      <c r="J79" s="19"/>
      <c r="K79" s="19"/>
      <c r="L79" s="19"/>
      <c r="N79" s="186"/>
    </row>
    <row r="80" spans="1:14" x14ac:dyDescent="0.25">
      <c r="A80" s="35" t="s">
        <v>50</v>
      </c>
      <c r="B80" s="36"/>
      <c r="C80" s="36"/>
      <c r="D80" s="36"/>
      <c r="E80" s="36"/>
      <c r="F80" s="36"/>
      <c r="G80" s="37"/>
      <c r="H80" s="37"/>
      <c r="I80" s="38"/>
      <c r="J80" s="19"/>
      <c r="K80" s="19"/>
      <c r="L80" s="19"/>
      <c r="N80" s="186"/>
    </row>
    <row r="81" spans="3:14" x14ac:dyDescent="0.25">
      <c r="N81" s="186"/>
    </row>
    <row r="82" spans="3:14" x14ac:dyDescent="0.25">
      <c r="C82" s="342" t="s">
        <v>125</v>
      </c>
      <c r="D82" s="342"/>
      <c r="I82" s="342" t="s">
        <v>128</v>
      </c>
      <c r="J82" s="342"/>
      <c r="N82" s="186"/>
    </row>
    <row r="83" spans="3:14" x14ac:dyDescent="0.25">
      <c r="N83" s="186"/>
    </row>
    <row r="84" spans="3:14" x14ac:dyDescent="0.25">
      <c r="N84" s="186"/>
    </row>
    <row r="85" spans="3:14" x14ac:dyDescent="0.25">
      <c r="C85" s="342" t="s">
        <v>126</v>
      </c>
      <c r="D85" s="342"/>
      <c r="I85" s="342" t="s">
        <v>129</v>
      </c>
      <c r="J85" s="342"/>
      <c r="N85" s="186"/>
    </row>
    <row r="86" spans="3:14" x14ac:dyDescent="0.25">
      <c r="C86" s="342" t="s">
        <v>127</v>
      </c>
      <c r="D86" s="342"/>
      <c r="I86" s="342" t="s">
        <v>130</v>
      </c>
      <c r="J86" s="342"/>
      <c r="N86" s="186"/>
    </row>
    <row r="87" spans="3:14" x14ac:dyDescent="0.25">
      <c r="N87" s="186"/>
    </row>
    <row r="88" spans="3:14" x14ac:dyDescent="0.25">
      <c r="N88" s="186"/>
    </row>
    <row r="89" spans="3:14" x14ac:dyDescent="0.25">
      <c r="N89" s="186"/>
    </row>
    <row r="90" spans="3:14" x14ac:dyDescent="0.25">
      <c r="N90" s="186"/>
    </row>
    <row r="91" spans="3:14" x14ac:dyDescent="0.25">
      <c r="N91" s="186"/>
    </row>
    <row r="92" spans="3:14" x14ac:dyDescent="0.25">
      <c r="N92" s="186"/>
    </row>
    <row r="93" spans="3:14" x14ac:dyDescent="0.25">
      <c r="N93" s="186"/>
    </row>
    <row r="94" spans="3:14" x14ac:dyDescent="0.25">
      <c r="N94" s="186"/>
    </row>
    <row r="95" spans="3:14" x14ac:dyDescent="0.25">
      <c r="N95" s="186"/>
    </row>
    <row r="96" spans="3:14" x14ac:dyDescent="0.25">
      <c r="N96" s="186"/>
    </row>
    <row r="97" spans="14:14" x14ac:dyDescent="0.25">
      <c r="N97" s="186"/>
    </row>
    <row r="98" spans="14:14" x14ac:dyDescent="0.25">
      <c r="N98" s="186"/>
    </row>
    <row r="99" spans="14:14" x14ac:dyDescent="0.25">
      <c r="N99" s="186"/>
    </row>
    <row r="100" spans="14:14" x14ac:dyDescent="0.25">
      <c r="N100" s="186"/>
    </row>
    <row r="101" spans="14:14" x14ac:dyDescent="0.25">
      <c r="N101" s="186"/>
    </row>
    <row r="102" spans="14:14" x14ac:dyDescent="0.25">
      <c r="N102" s="186"/>
    </row>
    <row r="103" spans="14:14" x14ac:dyDescent="0.25">
      <c r="N103" s="186"/>
    </row>
    <row r="104" spans="14:14" x14ac:dyDescent="0.25">
      <c r="N104" s="186"/>
    </row>
    <row r="105" spans="14:14" x14ac:dyDescent="0.25">
      <c r="N105" s="186"/>
    </row>
    <row r="106" spans="14:14" x14ac:dyDescent="0.25">
      <c r="N106" s="186"/>
    </row>
    <row r="107" spans="14:14" x14ac:dyDescent="0.25">
      <c r="N107" s="186"/>
    </row>
    <row r="108" spans="14:14" x14ac:dyDescent="0.25">
      <c r="N108" s="186"/>
    </row>
    <row r="109" spans="14:14" x14ac:dyDescent="0.25">
      <c r="N109" s="186"/>
    </row>
    <row r="110" spans="14:14" x14ac:dyDescent="0.25">
      <c r="N110" s="186"/>
    </row>
    <row r="111" spans="14:14" x14ac:dyDescent="0.25">
      <c r="N111" s="186"/>
    </row>
    <row r="112" spans="14:14" x14ac:dyDescent="0.25">
      <c r="N112" s="186"/>
    </row>
    <row r="113" spans="14:14" x14ac:dyDescent="0.25">
      <c r="N113" s="186"/>
    </row>
    <row r="114" spans="14:14" x14ac:dyDescent="0.25">
      <c r="N114" s="186"/>
    </row>
    <row r="115" spans="14:14" x14ac:dyDescent="0.25">
      <c r="N115" s="186"/>
    </row>
    <row r="116" spans="14:14" x14ac:dyDescent="0.25">
      <c r="N116" s="186"/>
    </row>
    <row r="117" spans="14:14" x14ac:dyDescent="0.25">
      <c r="N117" s="186"/>
    </row>
    <row r="118" spans="14:14" x14ac:dyDescent="0.25">
      <c r="N118" s="186"/>
    </row>
    <row r="119" spans="14:14" x14ac:dyDescent="0.25">
      <c r="N119" s="186"/>
    </row>
    <row r="120" spans="14:14" x14ac:dyDescent="0.25">
      <c r="N120" s="186"/>
    </row>
    <row r="121" spans="14:14" x14ac:dyDescent="0.25">
      <c r="N121" s="186"/>
    </row>
    <row r="122" spans="14:14" x14ac:dyDescent="0.25">
      <c r="N122" s="186"/>
    </row>
    <row r="123" spans="14:14" x14ac:dyDescent="0.25">
      <c r="N123" s="186"/>
    </row>
    <row r="124" spans="14:14" x14ac:dyDescent="0.25">
      <c r="N124" s="186"/>
    </row>
    <row r="125" spans="14:14" x14ac:dyDescent="0.25">
      <c r="N125" s="186"/>
    </row>
    <row r="126" spans="14:14" x14ac:dyDescent="0.25">
      <c r="N126" s="186"/>
    </row>
    <row r="127" spans="14:14" x14ac:dyDescent="0.25">
      <c r="N127" s="186"/>
    </row>
    <row r="128" spans="14:14" x14ac:dyDescent="0.25">
      <c r="N128" s="186"/>
    </row>
    <row r="129" spans="14:14" x14ac:dyDescent="0.25">
      <c r="N129" s="186"/>
    </row>
    <row r="130" spans="14:14" x14ac:dyDescent="0.25">
      <c r="N130" s="186"/>
    </row>
    <row r="131" spans="14:14" x14ac:dyDescent="0.25">
      <c r="N131" s="186"/>
    </row>
    <row r="132" spans="14:14" x14ac:dyDescent="0.25">
      <c r="N132" s="186"/>
    </row>
    <row r="133" spans="14:14" x14ac:dyDescent="0.25">
      <c r="N133" s="186"/>
    </row>
    <row r="134" spans="14:14" x14ac:dyDescent="0.25">
      <c r="N134" s="186"/>
    </row>
    <row r="135" spans="14:14" x14ac:dyDescent="0.25">
      <c r="N135" s="186"/>
    </row>
    <row r="136" spans="14:14" x14ac:dyDescent="0.25">
      <c r="N136" s="186"/>
    </row>
    <row r="137" spans="14:14" x14ac:dyDescent="0.25">
      <c r="N137" s="186"/>
    </row>
    <row r="138" spans="14:14" x14ac:dyDescent="0.25">
      <c r="N138" s="186"/>
    </row>
    <row r="139" spans="14:14" x14ac:dyDescent="0.25">
      <c r="N139" s="186"/>
    </row>
    <row r="140" spans="14:14" x14ac:dyDescent="0.25">
      <c r="N140" s="186"/>
    </row>
    <row r="141" spans="14:14" x14ac:dyDescent="0.25">
      <c r="N141" s="186"/>
    </row>
    <row r="142" spans="14:14" x14ac:dyDescent="0.25">
      <c r="N142" s="186"/>
    </row>
    <row r="143" spans="14:14" x14ac:dyDescent="0.25">
      <c r="N143" s="186"/>
    </row>
    <row r="144" spans="14:14" x14ac:dyDescent="0.25">
      <c r="N144" s="186"/>
    </row>
    <row r="145" spans="14:14" x14ac:dyDescent="0.25">
      <c r="N145" s="186"/>
    </row>
    <row r="146" spans="14:14" x14ac:dyDescent="0.25">
      <c r="N146" s="186"/>
    </row>
    <row r="147" spans="14:14" x14ac:dyDescent="0.25">
      <c r="N147" s="186"/>
    </row>
    <row r="148" spans="14:14" x14ac:dyDescent="0.25">
      <c r="N148" s="186"/>
    </row>
    <row r="149" spans="14:14" x14ac:dyDescent="0.25">
      <c r="N149" s="186"/>
    </row>
    <row r="150" spans="14:14" x14ac:dyDescent="0.25">
      <c r="N150" s="186"/>
    </row>
    <row r="151" spans="14:14" x14ac:dyDescent="0.25">
      <c r="N151" s="186"/>
    </row>
    <row r="152" spans="14:14" x14ac:dyDescent="0.25">
      <c r="N152" s="186"/>
    </row>
    <row r="153" spans="14:14" x14ac:dyDescent="0.25">
      <c r="N153" s="186"/>
    </row>
    <row r="154" spans="14:14" x14ac:dyDescent="0.25">
      <c r="N154" s="186"/>
    </row>
    <row r="155" spans="14:14" x14ac:dyDescent="0.25">
      <c r="N155" s="186"/>
    </row>
    <row r="156" spans="14:14" x14ac:dyDescent="0.25">
      <c r="N156" s="186"/>
    </row>
    <row r="157" spans="14:14" x14ac:dyDescent="0.25">
      <c r="N157" s="186"/>
    </row>
    <row r="158" spans="14:14" x14ac:dyDescent="0.25">
      <c r="N158" s="186"/>
    </row>
    <row r="159" spans="14:14" x14ac:dyDescent="0.25">
      <c r="N159" s="186"/>
    </row>
    <row r="160" spans="14:14" x14ac:dyDescent="0.25">
      <c r="N160" s="186"/>
    </row>
    <row r="161" spans="14:14" x14ac:dyDescent="0.25">
      <c r="N161" s="186"/>
    </row>
    <row r="162" spans="14:14" x14ac:dyDescent="0.25">
      <c r="N162" s="186"/>
    </row>
    <row r="163" spans="14:14" x14ac:dyDescent="0.25">
      <c r="N163" s="186"/>
    </row>
    <row r="164" spans="14:14" x14ac:dyDescent="0.25">
      <c r="N164" s="186"/>
    </row>
    <row r="165" spans="14:14" x14ac:dyDescent="0.25">
      <c r="N165" s="186"/>
    </row>
    <row r="166" spans="14:14" x14ac:dyDescent="0.25">
      <c r="N166" s="186"/>
    </row>
    <row r="167" spans="14:14" x14ac:dyDescent="0.25">
      <c r="N167" s="186"/>
    </row>
    <row r="168" spans="14:14" x14ac:dyDescent="0.25">
      <c r="N168" s="186"/>
    </row>
    <row r="169" spans="14:14" x14ac:dyDescent="0.25">
      <c r="N169" s="186"/>
    </row>
    <row r="170" spans="14:14" x14ac:dyDescent="0.25">
      <c r="N170" s="186"/>
    </row>
    <row r="171" spans="14:14" x14ac:dyDescent="0.25">
      <c r="N171" s="186"/>
    </row>
    <row r="172" spans="14:14" x14ac:dyDescent="0.25">
      <c r="N172" s="186"/>
    </row>
    <row r="173" spans="14:14" x14ac:dyDescent="0.25">
      <c r="N173" s="186"/>
    </row>
    <row r="174" spans="14:14" x14ac:dyDescent="0.25">
      <c r="N174" s="186"/>
    </row>
    <row r="175" spans="14:14" x14ac:dyDescent="0.25">
      <c r="N175" s="186"/>
    </row>
    <row r="176" spans="14:14" x14ac:dyDescent="0.25">
      <c r="N176" s="186"/>
    </row>
    <row r="177" spans="14:14" x14ac:dyDescent="0.25">
      <c r="N177" s="186"/>
    </row>
    <row r="178" spans="14:14" x14ac:dyDescent="0.25">
      <c r="N178" s="186"/>
    </row>
    <row r="179" spans="14:14" x14ac:dyDescent="0.25">
      <c r="N179" s="186"/>
    </row>
    <row r="180" spans="14:14" x14ac:dyDescent="0.25">
      <c r="N180" s="186"/>
    </row>
    <row r="181" spans="14:14" x14ac:dyDescent="0.25">
      <c r="N181" s="186"/>
    </row>
    <row r="182" spans="14:14" x14ac:dyDescent="0.25">
      <c r="N182" s="186"/>
    </row>
    <row r="183" spans="14:14" x14ac:dyDescent="0.25">
      <c r="N183" s="186"/>
    </row>
    <row r="184" spans="14:14" x14ac:dyDescent="0.25">
      <c r="N184" s="186"/>
    </row>
    <row r="185" spans="14:14" x14ac:dyDescent="0.25">
      <c r="N185" s="186"/>
    </row>
    <row r="186" spans="14:14" x14ac:dyDescent="0.25">
      <c r="N186" s="186"/>
    </row>
    <row r="187" spans="14:14" x14ac:dyDescent="0.25">
      <c r="N187" s="186"/>
    </row>
    <row r="188" spans="14:14" x14ac:dyDescent="0.25">
      <c r="N188" s="186"/>
    </row>
    <row r="189" spans="14:14" x14ac:dyDescent="0.25">
      <c r="N189" s="186"/>
    </row>
    <row r="190" spans="14:14" x14ac:dyDescent="0.25">
      <c r="N190" s="186"/>
    </row>
    <row r="191" spans="14:14" x14ac:dyDescent="0.25">
      <c r="N191" s="186"/>
    </row>
    <row r="192" spans="14:14" x14ac:dyDescent="0.25">
      <c r="N192" s="186"/>
    </row>
    <row r="193" spans="14:14" x14ac:dyDescent="0.25">
      <c r="N193" s="186"/>
    </row>
    <row r="194" spans="14:14" x14ac:dyDescent="0.25">
      <c r="N194" s="186"/>
    </row>
    <row r="195" spans="14:14" x14ac:dyDescent="0.25">
      <c r="N195" s="186"/>
    </row>
    <row r="196" spans="14:14" x14ac:dyDescent="0.25">
      <c r="N196" s="186"/>
    </row>
    <row r="197" spans="14:14" x14ac:dyDescent="0.25">
      <c r="N197" s="186"/>
    </row>
    <row r="198" spans="14:14" x14ac:dyDescent="0.25">
      <c r="N198" s="186"/>
    </row>
    <row r="199" spans="14:14" x14ac:dyDescent="0.25">
      <c r="N199" s="186"/>
    </row>
    <row r="200" spans="14:14" x14ac:dyDescent="0.25">
      <c r="N200" s="186"/>
    </row>
    <row r="201" spans="14:14" x14ac:dyDescent="0.25">
      <c r="N201" s="186"/>
    </row>
    <row r="202" spans="14:14" x14ac:dyDescent="0.25">
      <c r="N202" s="186"/>
    </row>
    <row r="203" spans="14:14" x14ac:dyDescent="0.25">
      <c r="N203" s="186"/>
    </row>
    <row r="204" spans="14:14" x14ac:dyDescent="0.25">
      <c r="N204" s="186"/>
    </row>
    <row r="205" spans="14:14" x14ac:dyDescent="0.25">
      <c r="N205" s="186"/>
    </row>
    <row r="206" spans="14:14" x14ac:dyDescent="0.25">
      <c r="N206" s="186"/>
    </row>
    <row r="207" spans="14:14" x14ac:dyDescent="0.25">
      <c r="N207" s="186"/>
    </row>
    <row r="208" spans="14:14" x14ac:dyDescent="0.25">
      <c r="N208" s="186"/>
    </row>
    <row r="209" spans="14:14" x14ac:dyDescent="0.25">
      <c r="N209" s="186"/>
    </row>
    <row r="210" spans="14:14" x14ac:dyDescent="0.25">
      <c r="N210" s="186"/>
    </row>
    <row r="211" spans="14:14" x14ac:dyDescent="0.25">
      <c r="N211" s="186"/>
    </row>
    <row r="212" spans="14:14" x14ac:dyDescent="0.25">
      <c r="N212" s="186"/>
    </row>
    <row r="213" spans="14:14" x14ac:dyDescent="0.25">
      <c r="N213" s="186"/>
    </row>
    <row r="214" spans="14:14" x14ac:dyDescent="0.25">
      <c r="N214" s="186"/>
    </row>
    <row r="215" spans="14:14" x14ac:dyDescent="0.25">
      <c r="N215" s="186"/>
    </row>
    <row r="216" spans="14:14" x14ac:dyDescent="0.25">
      <c r="N216" s="186"/>
    </row>
    <row r="217" spans="14:14" x14ac:dyDescent="0.25">
      <c r="N217" s="186"/>
    </row>
    <row r="218" spans="14:14" x14ac:dyDescent="0.25">
      <c r="N218" s="186"/>
    </row>
    <row r="219" spans="14:14" x14ac:dyDescent="0.25">
      <c r="N219" s="186"/>
    </row>
    <row r="220" spans="14:14" x14ac:dyDescent="0.25">
      <c r="N220" s="186"/>
    </row>
    <row r="221" spans="14:14" x14ac:dyDescent="0.25">
      <c r="N221" s="186"/>
    </row>
    <row r="222" spans="14:14" x14ac:dyDescent="0.25">
      <c r="N222" s="186"/>
    </row>
    <row r="223" spans="14:14" x14ac:dyDescent="0.25">
      <c r="N223" s="186"/>
    </row>
    <row r="224" spans="14:14" x14ac:dyDescent="0.25">
      <c r="N224" s="186"/>
    </row>
    <row r="225" spans="14:14" x14ac:dyDescent="0.25">
      <c r="N225" s="186"/>
    </row>
    <row r="226" spans="14:14" x14ac:dyDescent="0.25">
      <c r="N226" s="186"/>
    </row>
    <row r="227" spans="14:14" x14ac:dyDescent="0.25">
      <c r="N227" s="186"/>
    </row>
    <row r="228" spans="14:14" x14ac:dyDescent="0.25">
      <c r="N228" s="186"/>
    </row>
    <row r="229" spans="14:14" x14ac:dyDescent="0.25">
      <c r="N229" s="186"/>
    </row>
    <row r="230" spans="14:14" x14ac:dyDescent="0.25">
      <c r="N230" s="186"/>
    </row>
    <row r="231" spans="14:14" x14ac:dyDescent="0.25">
      <c r="N231" s="186"/>
    </row>
    <row r="232" spans="14:14" x14ac:dyDescent="0.25">
      <c r="N232" s="186"/>
    </row>
    <row r="233" spans="14:14" x14ac:dyDescent="0.25">
      <c r="N233" s="186"/>
    </row>
    <row r="234" spans="14:14" x14ac:dyDescent="0.25">
      <c r="N234" s="186"/>
    </row>
    <row r="235" spans="14:14" x14ac:dyDescent="0.25">
      <c r="N235" s="186"/>
    </row>
    <row r="236" spans="14:14" x14ac:dyDescent="0.25">
      <c r="N236" s="186"/>
    </row>
    <row r="237" spans="14:14" x14ac:dyDescent="0.25">
      <c r="N237" s="186"/>
    </row>
    <row r="238" spans="14:14" x14ac:dyDescent="0.25">
      <c r="N238" s="186"/>
    </row>
    <row r="239" spans="14:14" x14ac:dyDescent="0.25">
      <c r="N239" s="186"/>
    </row>
    <row r="240" spans="14:14" x14ac:dyDescent="0.25">
      <c r="N240" s="186"/>
    </row>
    <row r="241" spans="14:14" x14ac:dyDescent="0.25">
      <c r="N241" s="186"/>
    </row>
    <row r="242" spans="14:14" x14ac:dyDescent="0.25">
      <c r="N242" s="186"/>
    </row>
    <row r="243" spans="14:14" x14ac:dyDescent="0.25">
      <c r="N243" s="186"/>
    </row>
    <row r="244" spans="14:14" x14ac:dyDescent="0.25">
      <c r="N244" s="186"/>
    </row>
    <row r="245" spans="14:14" x14ac:dyDescent="0.25">
      <c r="N245" s="186"/>
    </row>
    <row r="246" spans="14:14" x14ac:dyDescent="0.25">
      <c r="N246" s="186"/>
    </row>
    <row r="247" spans="14:14" x14ac:dyDescent="0.25">
      <c r="N247" s="186"/>
    </row>
    <row r="248" spans="14:14" x14ac:dyDescent="0.25">
      <c r="N248" s="186"/>
    </row>
    <row r="249" spans="14:14" x14ac:dyDescent="0.25">
      <c r="N249" s="186"/>
    </row>
    <row r="250" spans="14:14" x14ac:dyDescent="0.25">
      <c r="N250" s="186"/>
    </row>
    <row r="251" spans="14:14" x14ac:dyDescent="0.25">
      <c r="N251" s="186"/>
    </row>
    <row r="252" spans="14:14" x14ac:dyDescent="0.25">
      <c r="N252" s="186"/>
    </row>
    <row r="253" spans="14:14" x14ac:dyDescent="0.25">
      <c r="N253" s="186"/>
    </row>
    <row r="254" spans="14:14" x14ac:dyDescent="0.25">
      <c r="N254" s="186"/>
    </row>
    <row r="255" spans="14:14" x14ac:dyDescent="0.25">
      <c r="N255" s="186"/>
    </row>
    <row r="256" spans="14:14" x14ac:dyDescent="0.25">
      <c r="N256" s="186"/>
    </row>
    <row r="257" spans="14:14" x14ac:dyDescent="0.25">
      <c r="N257" s="186"/>
    </row>
    <row r="258" spans="14:14" x14ac:dyDescent="0.25">
      <c r="N258" s="186"/>
    </row>
    <row r="259" spans="14:14" x14ac:dyDescent="0.25">
      <c r="N259" s="186"/>
    </row>
    <row r="260" spans="14:14" x14ac:dyDescent="0.25">
      <c r="N260" s="186"/>
    </row>
    <row r="261" spans="14:14" x14ac:dyDescent="0.25">
      <c r="N261" s="186"/>
    </row>
    <row r="262" spans="14:14" x14ac:dyDescent="0.25">
      <c r="N262" s="186"/>
    </row>
    <row r="263" spans="14:14" x14ac:dyDescent="0.25">
      <c r="N263" s="186"/>
    </row>
    <row r="264" spans="14:14" x14ac:dyDescent="0.25">
      <c r="N264" s="186"/>
    </row>
    <row r="265" spans="14:14" x14ac:dyDescent="0.25">
      <c r="N265" s="186"/>
    </row>
    <row r="266" spans="14:14" x14ac:dyDescent="0.25">
      <c r="N266" s="186"/>
    </row>
    <row r="267" spans="14:14" x14ac:dyDescent="0.25">
      <c r="N267" s="186"/>
    </row>
    <row r="268" spans="14:14" x14ac:dyDescent="0.25">
      <c r="N268" s="186"/>
    </row>
    <row r="269" spans="14:14" x14ac:dyDescent="0.25">
      <c r="N269" s="186"/>
    </row>
    <row r="270" spans="14:14" x14ac:dyDescent="0.25">
      <c r="N270" s="186"/>
    </row>
    <row r="271" spans="14:14" x14ac:dyDescent="0.25">
      <c r="N271" s="186"/>
    </row>
    <row r="272" spans="14:14" x14ac:dyDescent="0.25">
      <c r="N272" s="186"/>
    </row>
    <row r="273" spans="14:14" x14ac:dyDescent="0.25">
      <c r="N273" s="186"/>
    </row>
    <row r="274" spans="14:14" x14ac:dyDescent="0.25">
      <c r="N274" s="186"/>
    </row>
    <row r="275" spans="14:14" x14ac:dyDescent="0.25">
      <c r="N275" s="186"/>
    </row>
    <row r="276" spans="14:14" x14ac:dyDescent="0.25">
      <c r="N276" s="186"/>
    </row>
    <row r="277" spans="14:14" x14ac:dyDescent="0.25">
      <c r="N277" s="186"/>
    </row>
    <row r="278" spans="14:14" x14ac:dyDescent="0.25">
      <c r="N278" s="186"/>
    </row>
    <row r="279" spans="14:14" x14ac:dyDescent="0.25">
      <c r="N279" s="186"/>
    </row>
    <row r="280" spans="14:14" x14ac:dyDescent="0.25">
      <c r="N280" s="186"/>
    </row>
    <row r="281" spans="14:14" x14ac:dyDescent="0.25">
      <c r="N281" s="186"/>
    </row>
    <row r="282" spans="14:14" x14ac:dyDescent="0.25">
      <c r="N282" s="186"/>
    </row>
    <row r="283" spans="14:14" x14ac:dyDescent="0.25">
      <c r="N283" s="186"/>
    </row>
    <row r="284" spans="14:14" x14ac:dyDescent="0.25">
      <c r="N284" s="186"/>
    </row>
    <row r="285" spans="14:14" x14ac:dyDescent="0.25">
      <c r="N285" s="186"/>
    </row>
  </sheetData>
  <mergeCells count="39">
    <mergeCell ref="A1:L1"/>
    <mergeCell ref="A3:L3"/>
    <mergeCell ref="A6:L6"/>
    <mergeCell ref="A7:L7"/>
    <mergeCell ref="C8:G8"/>
    <mergeCell ref="H8:K8"/>
    <mergeCell ref="A9:A10"/>
    <mergeCell ref="B9:B10"/>
    <mergeCell ref="C9:C10"/>
    <mergeCell ref="D9:D10"/>
    <mergeCell ref="E9:E10"/>
    <mergeCell ref="J9:J10"/>
    <mergeCell ref="K9:K10"/>
    <mergeCell ref="B75:C75"/>
    <mergeCell ref="D75:F75"/>
    <mergeCell ref="G75:H75"/>
    <mergeCell ref="C73:I73"/>
    <mergeCell ref="F9:F10"/>
    <mergeCell ref="G9:G10"/>
    <mergeCell ref="H9:H10"/>
    <mergeCell ref="I9:I10"/>
    <mergeCell ref="B76:C76"/>
    <mergeCell ref="D76:F76"/>
    <mergeCell ref="G76:H76"/>
    <mergeCell ref="B77:C77"/>
    <mergeCell ref="D77:F77"/>
    <mergeCell ref="G77:H77"/>
    <mergeCell ref="B78:C78"/>
    <mergeCell ref="D78:F78"/>
    <mergeCell ref="G78:H78"/>
    <mergeCell ref="C86:D86"/>
    <mergeCell ref="I86:J86"/>
    <mergeCell ref="B79:C79"/>
    <mergeCell ref="D79:F79"/>
    <mergeCell ref="G79:H79"/>
    <mergeCell ref="C82:D82"/>
    <mergeCell ref="I82:J82"/>
    <mergeCell ref="C85:D85"/>
    <mergeCell ref="I85:J85"/>
  </mergeCells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285"/>
  <sheetViews>
    <sheetView zoomScale="120" zoomScaleNormal="12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O10" sqref="O10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24.28515625" style="165" customWidth="1"/>
    <col min="14" max="14" width="16.5703125" style="169" customWidth="1"/>
    <col min="15" max="16" width="16.5703125" style="141"/>
    <col min="17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6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N1" s="186"/>
    </row>
    <row r="2" spans="1:16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186"/>
    </row>
    <row r="3" spans="1:16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N3" s="186"/>
    </row>
    <row r="4" spans="1:16" x14ac:dyDescent="0.25">
      <c r="A4" s="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N4" s="186"/>
    </row>
    <row r="5" spans="1:16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  <c r="N5" s="186"/>
    </row>
    <row r="6" spans="1:16" x14ac:dyDescent="0.25">
      <c r="A6" s="334" t="s">
        <v>54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N6" s="186"/>
    </row>
    <row r="7" spans="1:16" x14ac:dyDescent="0.25">
      <c r="A7" s="334" t="s">
        <v>138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N7" s="186"/>
    </row>
    <row r="8" spans="1:16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  <c r="N8" s="186"/>
    </row>
    <row r="9" spans="1:16" s="17" customFormat="1" ht="18" customHeigh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166"/>
      <c r="N9" s="187"/>
      <c r="O9" s="142"/>
      <c r="P9" s="142"/>
    </row>
    <row r="10" spans="1:16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N10" s="186"/>
      <c r="O10" s="151"/>
    </row>
    <row r="11" spans="1:16" s="17" customFormat="1" x14ac:dyDescent="0.25">
      <c r="A11" s="139" t="s">
        <v>18</v>
      </c>
      <c r="B11" s="14">
        <f>+C11</f>
        <v>11238006.530000001</v>
      </c>
      <c r="C11" s="14">
        <f>10999097.88+238908.65</f>
        <v>11238006.530000001</v>
      </c>
      <c r="D11" s="11">
        <v>0</v>
      </c>
      <c r="E11" s="14">
        <v>11056143.380000001</v>
      </c>
      <c r="F11" s="14">
        <f>+E11/C11</f>
        <v>0.98381713433654672</v>
      </c>
      <c r="G11" s="251">
        <f>+C11+D11-E11</f>
        <v>181863.15000000037</v>
      </c>
      <c r="H11" s="11">
        <f>178606.93+5000</f>
        <v>183606.93</v>
      </c>
      <c r="I11" s="14">
        <f>127254.42+10000</f>
        <v>137254.41999999998</v>
      </c>
      <c r="J11" s="14">
        <f>21634+117364.2</f>
        <v>138998.20000000001</v>
      </c>
      <c r="K11" s="14">
        <f>H11+I11-J11</f>
        <v>181863.14999999997</v>
      </c>
      <c r="L11" s="15">
        <f>+F11</f>
        <v>0.98381713433654672</v>
      </c>
      <c r="M11" s="62">
        <f t="shared" ref="M11:M26" si="0">+K11-G11</f>
        <v>-4.0745362639427185E-10</v>
      </c>
      <c r="N11" s="214"/>
      <c r="O11" s="153">
        <v>32958.980000000003</v>
      </c>
      <c r="P11" s="142"/>
    </row>
    <row r="12" spans="1:16" x14ac:dyDescent="0.2">
      <c r="A12" s="139" t="s">
        <v>20</v>
      </c>
      <c r="B12" s="14" t="s">
        <v>52</v>
      </c>
      <c r="C12" s="11">
        <v>32201284.170000002</v>
      </c>
      <c r="D12" s="11">
        <v>0</v>
      </c>
      <c r="E12" s="14">
        <v>32201284.170000002</v>
      </c>
      <c r="F12" s="14">
        <f t="shared" ref="F12:F17" si="1">+E12/C12</f>
        <v>1</v>
      </c>
      <c r="G12" s="251">
        <f t="shared" ref="G12:G26" si="2">+C12+D12-E12</f>
        <v>0</v>
      </c>
      <c r="H12" s="11">
        <f>0+1626333.07</f>
        <v>1626333.07</v>
      </c>
      <c r="I12" s="14">
        <f>50868+4200</f>
        <v>55068</v>
      </c>
      <c r="J12" s="14">
        <f>1441899+62764+176738.07</f>
        <v>1681401.07</v>
      </c>
      <c r="K12" s="14">
        <f t="shared" ref="K12:K21" si="3">H12+I12-J12</f>
        <v>0</v>
      </c>
      <c r="L12" s="15">
        <f t="shared" ref="L12:L23" si="4">+F12</f>
        <v>1</v>
      </c>
      <c r="M12" s="250">
        <f t="shared" si="0"/>
        <v>0</v>
      </c>
      <c r="N12" s="211"/>
      <c r="O12" s="151">
        <v>136973.35</v>
      </c>
    </row>
    <row r="13" spans="1:16" x14ac:dyDescent="0.2">
      <c r="A13" s="139" t="s">
        <v>21</v>
      </c>
      <c r="B13" s="14">
        <f t="shared" ref="B13:B26" si="5">+C13</f>
        <v>375916.69</v>
      </c>
      <c r="C13" s="11">
        <v>375916.69</v>
      </c>
      <c r="D13" s="11">
        <v>0</v>
      </c>
      <c r="E13" s="11">
        <v>364122.38</v>
      </c>
      <c r="F13" s="14">
        <f t="shared" si="1"/>
        <v>0.9686252025681541</v>
      </c>
      <c r="G13" s="251">
        <f t="shared" si="2"/>
        <v>11794.309999999998</v>
      </c>
      <c r="H13" s="11">
        <v>11794.31</v>
      </c>
      <c r="I13" s="14">
        <v>0</v>
      </c>
      <c r="J13" s="14">
        <v>0</v>
      </c>
      <c r="K13" s="14">
        <f t="shared" si="3"/>
        <v>11794.31</v>
      </c>
      <c r="L13" s="15">
        <f t="shared" si="4"/>
        <v>0.9686252025681541</v>
      </c>
      <c r="M13" s="236">
        <f t="shared" si="0"/>
        <v>0</v>
      </c>
      <c r="N13" s="241"/>
      <c r="O13" s="141">
        <v>342275.92</v>
      </c>
    </row>
    <row r="14" spans="1:16" x14ac:dyDescent="0.2">
      <c r="A14" s="139" t="s">
        <v>22</v>
      </c>
      <c r="B14" s="14">
        <f t="shared" si="5"/>
        <v>553292.86</v>
      </c>
      <c r="C14" s="11">
        <v>553292.86</v>
      </c>
      <c r="D14" s="11">
        <v>0</v>
      </c>
      <c r="E14" s="11">
        <v>549193.92000000004</v>
      </c>
      <c r="F14" s="14">
        <f t="shared" si="1"/>
        <v>0.99259173523403155</v>
      </c>
      <c r="G14" s="251">
        <f t="shared" si="2"/>
        <v>4098.9399999999441</v>
      </c>
      <c r="H14" s="11">
        <v>4098.9399999999996</v>
      </c>
      <c r="I14" s="14">
        <v>0</v>
      </c>
      <c r="J14" s="14">
        <v>0</v>
      </c>
      <c r="K14" s="14">
        <f t="shared" si="3"/>
        <v>4098.9399999999996</v>
      </c>
      <c r="L14" s="15">
        <f t="shared" si="4"/>
        <v>0.99259173523403155</v>
      </c>
      <c r="M14" s="236">
        <f t="shared" si="0"/>
        <v>5.5479176808148623E-11</v>
      </c>
      <c r="N14" s="241"/>
      <c r="O14" s="151">
        <f>SUM(O11:O13)</f>
        <v>512208.25</v>
      </c>
    </row>
    <row r="15" spans="1:16" x14ac:dyDescent="0.2">
      <c r="A15" s="139" t="s">
        <v>23</v>
      </c>
      <c r="B15" s="14">
        <f t="shared" si="5"/>
        <v>1287364.3999999999</v>
      </c>
      <c r="C15" s="11">
        <v>1287364.3999999999</v>
      </c>
      <c r="D15" s="11">
        <v>0</v>
      </c>
      <c r="E15" s="11">
        <v>1286941.03</v>
      </c>
      <c r="F15" s="14">
        <f t="shared" si="1"/>
        <v>0.99967113429577525</v>
      </c>
      <c r="G15" s="251">
        <f t="shared" si="2"/>
        <v>423.36999999987893</v>
      </c>
      <c r="H15" s="11">
        <v>423.37</v>
      </c>
      <c r="I15" s="14">
        <v>0</v>
      </c>
      <c r="J15" s="14">
        <v>0</v>
      </c>
      <c r="K15" s="14">
        <f t="shared" si="3"/>
        <v>423.37</v>
      </c>
      <c r="L15" s="15">
        <f t="shared" si="4"/>
        <v>0.99967113429577525</v>
      </c>
      <c r="M15" s="236">
        <f t="shared" si="0"/>
        <v>1.2107648217352107E-10</v>
      </c>
      <c r="N15" s="210"/>
    </row>
    <row r="16" spans="1:16" x14ac:dyDescent="0.2">
      <c r="A16" s="139" t="s">
        <v>24</v>
      </c>
      <c r="B16" s="14">
        <f t="shared" si="5"/>
        <v>15340178.58</v>
      </c>
      <c r="C16" s="11">
        <v>15340178.58</v>
      </c>
      <c r="D16" s="11">
        <v>0</v>
      </c>
      <c r="E16" s="14">
        <f>15320249.52</f>
        <v>15320249.52</v>
      </c>
      <c r="F16" s="14">
        <f t="shared" si="1"/>
        <v>0.99870085867018632</v>
      </c>
      <c r="G16" s="251">
        <f t="shared" si="2"/>
        <v>19929.060000000522</v>
      </c>
      <c r="H16" s="11">
        <v>501651.06</v>
      </c>
      <c r="I16" s="14">
        <v>0</v>
      </c>
      <c r="J16" s="14">
        <f>419314+2000+60408</f>
        <v>481722</v>
      </c>
      <c r="K16" s="14">
        <f t="shared" si="3"/>
        <v>19929.059999999998</v>
      </c>
      <c r="L16" s="15">
        <f t="shared" si="4"/>
        <v>0.99870085867018632</v>
      </c>
      <c r="M16" s="62">
        <f t="shared" si="0"/>
        <v>-5.2386894822120667E-10</v>
      </c>
      <c r="N16" s="210"/>
      <c r="O16" s="151"/>
    </row>
    <row r="17" spans="1:18" x14ac:dyDescent="0.2">
      <c r="A17" s="139" t="s">
        <v>25</v>
      </c>
      <c r="B17" s="14">
        <f t="shared" si="5"/>
        <v>1461552.81</v>
      </c>
      <c r="C17" s="11">
        <v>1461552.81</v>
      </c>
      <c r="D17" s="11">
        <v>0</v>
      </c>
      <c r="E17" s="14">
        <v>1315379.46</v>
      </c>
      <c r="F17" s="14">
        <f t="shared" si="1"/>
        <v>0.89998763712137086</v>
      </c>
      <c r="G17" s="251">
        <f t="shared" si="2"/>
        <v>146173.35000000009</v>
      </c>
      <c r="H17" s="11">
        <v>146173.35</v>
      </c>
      <c r="I17" s="14">
        <v>0</v>
      </c>
      <c r="J17" s="14">
        <v>0</v>
      </c>
      <c r="K17" s="14">
        <f t="shared" si="3"/>
        <v>146173.35</v>
      </c>
      <c r="L17" s="15">
        <f t="shared" si="4"/>
        <v>0.89998763712137086</v>
      </c>
      <c r="M17" s="236">
        <f t="shared" si="0"/>
        <v>0</v>
      </c>
      <c r="N17" s="210"/>
    </row>
    <row r="18" spans="1:18" x14ac:dyDescent="0.2">
      <c r="A18" s="139" t="s">
        <v>53</v>
      </c>
      <c r="B18" s="14">
        <f t="shared" si="5"/>
        <v>888239.11</v>
      </c>
      <c r="C18" s="11">
        <v>888239.11</v>
      </c>
      <c r="D18" s="11">
        <v>0</v>
      </c>
      <c r="E18" s="11">
        <v>651043.92000000004</v>
      </c>
      <c r="F18" s="14">
        <v>0</v>
      </c>
      <c r="G18" s="251">
        <f t="shared" si="2"/>
        <v>237195.18999999994</v>
      </c>
      <c r="H18" s="11">
        <v>237195.19</v>
      </c>
      <c r="I18" s="14">
        <v>0</v>
      </c>
      <c r="J18" s="14">
        <v>0</v>
      </c>
      <c r="K18" s="14">
        <f t="shared" si="3"/>
        <v>237195.19</v>
      </c>
      <c r="L18" s="15">
        <f t="shared" si="4"/>
        <v>0</v>
      </c>
      <c r="M18" s="236">
        <f t="shared" si="0"/>
        <v>0</v>
      </c>
      <c r="N18" s="210"/>
    </row>
    <row r="19" spans="1:18" x14ac:dyDescent="0.2">
      <c r="A19" s="139" t="s">
        <v>27</v>
      </c>
      <c r="B19" s="14">
        <f t="shared" si="5"/>
        <v>0</v>
      </c>
      <c r="C19" s="11">
        <v>0</v>
      </c>
      <c r="D19" s="11">
        <v>0</v>
      </c>
      <c r="E19" s="11">
        <v>0</v>
      </c>
      <c r="F19" s="14">
        <v>0</v>
      </c>
      <c r="G19" s="251">
        <f t="shared" si="2"/>
        <v>0</v>
      </c>
      <c r="H19" s="11">
        <v>0</v>
      </c>
      <c r="I19" s="14">
        <v>0</v>
      </c>
      <c r="J19" s="14">
        <v>0</v>
      </c>
      <c r="K19" s="14">
        <f t="shared" si="3"/>
        <v>0</v>
      </c>
      <c r="L19" s="15">
        <f t="shared" si="4"/>
        <v>0</v>
      </c>
      <c r="M19" s="236">
        <f t="shared" si="0"/>
        <v>0</v>
      </c>
      <c r="N19" s="210"/>
    </row>
    <row r="20" spans="1:18" x14ac:dyDescent="0.2">
      <c r="A20" s="139" t="s">
        <v>28</v>
      </c>
      <c r="B20" s="14">
        <f t="shared" si="5"/>
        <v>60034.41</v>
      </c>
      <c r="C20" s="11">
        <v>60034.41</v>
      </c>
      <c r="D20" s="11">
        <v>0</v>
      </c>
      <c r="E20" s="11">
        <v>36692.129999999997</v>
      </c>
      <c r="F20" s="14">
        <v>0</v>
      </c>
      <c r="G20" s="251">
        <f t="shared" si="2"/>
        <v>23342.280000000006</v>
      </c>
      <c r="H20" s="11">
        <v>23342.28</v>
      </c>
      <c r="I20" s="14">
        <v>0</v>
      </c>
      <c r="J20" s="14">
        <v>0</v>
      </c>
      <c r="K20" s="14">
        <f t="shared" si="3"/>
        <v>23342.28</v>
      </c>
      <c r="L20" s="15">
        <f t="shared" si="4"/>
        <v>0</v>
      </c>
      <c r="M20" s="236">
        <f t="shared" si="0"/>
        <v>0</v>
      </c>
      <c r="N20" s="212"/>
    </row>
    <row r="21" spans="1:18" ht="27" x14ac:dyDescent="0.2">
      <c r="A21" s="139" t="s">
        <v>136</v>
      </c>
      <c r="B21" s="14">
        <f t="shared" si="5"/>
        <v>2201262.25</v>
      </c>
      <c r="C21" s="11">
        <v>2201262.25</v>
      </c>
      <c r="D21" s="11">
        <v>818.27</v>
      </c>
      <c r="E21" s="11">
        <v>2193712.5099999998</v>
      </c>
      <c r="F21" s="14"/>
      <c r="G21" s="251">
        <f t="shared" si="2"/>
        <v>8368.0100000002421</v>
      </c>
      <c r="H21" s="11">
        <v>8368.01</v>
      </c>
      <c r="I21" s="14">
        <v>0</v>
      </c>
      <c r="J21" s="14">
        <v>0</v>
      </c>
      <c r="K21" s="14">
        <f t="shared" si="3"/>
        <v>8368.01</v>
      </c>
      <c r="L21" s="15">
        <f t="shared" si="4"/>
        <v>0</v>
      </c>
      <c r="M21" s="236">
        <f t="shared" si="0"/>
        <v>-2.4192559067159891E-10</v>
      </c>
      <c r="N21" s="212"/>
    </row>
    <row r="22" spans="1:18" x14ac:dyDescent="0.2">
      <c r="A22" s="139" t="s">
        <v>29</v>
      </c>
      <c r="B22" s="14">
        <f t="shared" si="5"/>
        <v>29358891.780000001</v>
      </c>
      <c r="C22" s="11">
        <v>29358891.780000001</v>
      </c>
      <c r="D22" s="11">
        <v>644200.78</v>
      </c>
      <c r="E22" s="11">
        <v>29358059.32</v>
      </c>
      <c r="F22" s="14">
        <f>+E22/C22</f>
        <v>0.99997164538749495</v>
      </c>
      <c r="G22" s="251">
        <f t="shared" si="2"/>
        <v>645033.24000000209</v>
      </c>
      <c r="H22" s="11">
        <f>27044389.8+0</f>
        <v>27044389.800000001</v>
      </c>
      <c r="I22" s="14">
        <v>2958702.76</v>
      </c>
      <c r="J22" s="14">
        <v>29358059.32</v>
      </c>
      <c r="K22" s="14">
        <f>H22+I22-J22</f>
        <v>645033.24000000209</v>
      </c>
      <c r="L22" s="15">
        <f t="shared" si="4"/>
        <v>0.99997164538749495</v>
      </c>
      <c r="M22" s="236">
        <f t="shared" si="0"/>
        <v>0</v>
      </c>
      <c r="N22" s="212"/>
    </row>
    <row r="23" spans="1:18" x14ac:dyDescent="0.2">
      <c r="A23" s="139" t="s">
        <v>30</v>
      </c>
      <c r="B23" s="14">
        <f t="shared" si="5"/>
        <v>23067538.390000001</v>
      </c>
      <c r="C23" s="11">
        <v>23067538.390000001</v>
      </c>
      <c r="D23" s="11">
        <v>0</v>
      </c>
      <c r="E23" s="14">
        <v>23067538.390000001</v>
      </c>
      <c r="F23" s="14">
        <f>+E23/C23</f>
        <v>1</v>
      </c>
      <c r="G23" s="251">
        <f t="shared" si="2"/>
        <v>0</v>
      </c>
      <c r="H23" s="11">
        <v>402460.02</v>
      </c>
      <c r="I23" s="14">
        <f>713.4+45970</f>
        <v>46683.4</v>
      </c>
      <c r="J23" s="14">
        <f>275061+174082.42</f>
        <v>449143.42000000004</v>
      </c>
      <c r="K23" s="14">
        <f>H23+I23-J23</f>
        <v>0</v>
      </c>
      <c r="L23" s="15">
        <f t="shared" si="4"/>
        <v>1</v>
      </c>
      <c r="M23" s="107">
        <f t="shared" si="0"/>
        <v>0</v>
      </c>
      <c r="N23" s="157"/>
      <c r="Q23" s="141"/>
      <c r="R23" s="144"/>
    </row>
    <row r="24" spans="1:18" x14ac:dyDescent="0.2">
      <c r="A24" s="139" t="s">
        <v>57</v>
      </c>
      <c r="B24" s="14">
        <f t="shared" si="5"/>
        <v>1483495.05</v>
      </c>
      <c r="C24" s="11">
        <v>1483495.05</v>
      </c>
      <c r="D24" s="11">
        <v>4256.42</v>
      </c>
      <c r="E24" s="14">
        <v>1461506.21</v>
      </c>
      <c r="F24" s="14">
        <f>+E24/C24</f>
        <v>0.98517767888743535</v>
      </c>
      <c r="G24" s="251">
        <f t="shared" si="2"/>
        <v>26245.260000000009</v>
      </c>
      <c r="H24" s="11">
        <v>26245.26</v>
      </c>
      <c r="I24" s="14">
        <v>0</v>
      </c>
      <c r="J24" s="14">
        <v>0</v>
      </c>
      <c r="K24" s="14">
        <f>H24+I24-J24</f>
        <v>26245.26</v>
      </c>
      <c r="L24" s="15">
        <f>+F24</f>
        <v>0.98517767888743535</v>
      </c>
      <c r="M24" s="107">
        <f t="shared" si="0"/>
        <v>0</v>
      </c>
      <c r="N24" s="157"/>
      <c r="Q24" s="141"/>
      <c r="R24" s="144"/>
    </row>
    <row r="25" spans="1:18" x14ac:dyDescent="0.2">
      <c r="A25" s="139" t="s">
        <v>139</v>
      </c>
      <c r="B25" s="14">
        <f t="shared" si="5"/>
        <v>1364024.1</v>
      </c>
      <c r="C25" s="14">
        <v>1364024.1</v>
      </c>
      <c r="D25" s="11">
        <f>940.83+935.1+658.75</f>
        <v>2534.6800000000003</v>
      </c>
      <c r="E25" s="14">
        <v>1364018.1</v>
      </c>
      <c r="F25" s="14">
        <f>+E25/C25</f>
        <v>0.99999560125074038</v>
      </c>
      <c r="G25" s="251">
        <f t="shared" si="2"/>
        <v>2540.6799999999348</v>
      </c>
      <c r="H25" s="11">
        <v>957353.35</v>
      </c>
      <c r="I25" s="14">
        <v>409205.43</v>
      </c>
      <c r="J25" s="14">
        <v>1364018.1</v>
      </c>
      <c r="K25" s="14">
        <f>H25+I25-J25</f>
        <v>2540.6799999999348</v>
      </c>
      <c r="L25" s="15">
        <f>+F25</f>
        <v>0.99999560125074038</v>
      </c>
      <c r="M25" s="107">
        <f t="shared" si="0"/>
        <v>0</v>
      </c>
      <c r="N25" s="157"/>
      <c r="Q25" s="141"/>
      <c r="R25" s="144"/>
    </row>
    <row r="26" spans="1:18" ht="40.5" x14ac:dyDescent="0.2">
      <c r="A26" s="139" t="s">
        <v>135</v>
      </c>
      <c r="B26" s="14">
        <f t="shared" si="5"/>
        <v>199999.99</v>
      </c>
      <c r="C26" s="11">
        <v>199999.99</v>
      </c>
      <c r="D26" s="11">
        <f>113.52+264.05+123.8+26.23</f>
        <v>527.6</v>
      </c>
      <c r="E26" s="14">
        <v>199730.99</v>
      </c>
      <c r="F26" s="14">
        <f>+E26/C26</f>
        <v>0.99865499993274998</v>
      </c>
      <c r="G26" s="251">
        <f t="shared" si="2"/>
        <v>796.60000000000582</v>
      </c>
      <c r="H26" s="11">
        <v>683.08</v>
      </c>
      <c r="I26" s="14">
        <f>180000+5000</f>
        <v>185000</v>
      </c>
      <c r="J26" s="14">
        <f>102106.79+5000+77779.69</f>
        <v>184886.47999999998</v>
      </c>
      <c r="K26" s="14">
        <f>H26+I26-J26</f>
        <v>796.60000000000582</v>
      </c>
      <c r="L26" s="15">
        <f>+F26</f>
        <v>0.99865499993274998</v>
      </c>
      <c r="M26" s="107">
        <f t="shared" si="0"/>
        <v>0</v>
      </c>
      <c r="N26" s="157"/>
      <c r="Q26" s="141"/>
      <c r="R26" s="144"/>
    </row>
    <row r="27" spans="1:18" s="5" customFormat="1" x14ac:dyDescent="0.2">
      <c r="A27" s="248" t="s">
        <v>60</v>
      </c>
      <c r="B27" s="21">
        <f t="shared" ref="B27:K27" si="6">SUM(B11:B26)</f>
        <v>88879796.949999988</v>
      </c>
      <c r="C27" s="21">
        <f t="shared" si="6"/>
        <v>121081081.11999999</v>
      </c>
      <c r="D27" s="21">
        <f t="shared" si="6"/>
        <v>652337.75000000012</v>
      </c>
      <c r="E27" s="21">
        <f t="shared" si="6"/>
        <v>120425615.42999999</v>
      </c>
      <c r="F27" s="249">
        <f t="shared" si="6"/>
        <v>11.827193627684485</v>
      </c>
      <c r="G27" s="249">
        <f t="shared" si="6"/>
        <v>1307803.4400000032</v>
      </c>
      <c r="H27" s="249">
        <f t="shared" si="6"/>
        <v>31174118.020000003</v>
      </c>
      <c r="I27" s="249">
        <f t="shared" si="6"/>
        <v>3791914.01</v>
      </c>
      <c r="J27" s="249">
        <f t="shared" si="6"/>
        <v>33658228.590000004</v>
      </c>
      <c r="K27" s="249">
        <f t="shared" si="6"/>
        <v>1307803.440000002</v>
      </c>
      <c r="L27" s="252"/>
      <c r="M27" s="118">
        <f>SUM(M11:M26)</f>
        <v>-9.9669250630540773E-10</v>
      </c>
      <c r="N27" s="203"/>
      <c r="O27" s="143"/>
      <c r="P27" s="143"/>
    </row>
    <row r="28" spans="1:18" s="17" customFormat="1" x14ac:dyDescent="0.25">
      <c r="A28" s="139" t="s">
        <v>18</v>
      </c>
      <c r="B28" s="10">
        <v>9668787.5</v>
      </c>
      <c r="C28" s="10">
        <f>+B28-8808992.11</f>
        <v>859795.3900000006</v>
      </c>
      <c r="D28" s="11">
        <v>0</v>
      </c>
      <c r="E28" s="10">
        <v>126202.22</v>
      </c>
      <c r="F28" s="12">
        <f>+E28/C28</f>
        <v>0.14678168953662327</v>
      </c>
      <c r="G28" s="109">
        <f t="shared" ref="G28:G41" si="7">+C28+D28-E28</f>
        <v>733593.17000000062</v>
      </c>
      <c r="H28" s="11">
        <v>760336.44</v>
      </c>
      <c r="I28" s="14">
        <f>35750.7+49054.32+10000+17400</f>
        <v>112205.01999999999</v>
      </c>
      <c r="J28" s="14">
        <f>42293+3275.91+3277.52+90101.86</f>
        <v>138948.29</v>
      </c>
      <c r="K28" s="14">
        <f>H28+I28-J28</f>
        <v>733593.16999999993</v>
      </c>
      <c r="L28" s="15">
        <f>+F28</f>
        <v>0.14678168953662327</v>
      </c>
      <c r="M28" s="62">
        <f t="shared" ref="M28:M41" si="8">+K28-G28</f>
        <v>0</v>
      </c>
      <c r="N28" s="188"/>
      <c r="O28" s="153"/>
      <c r="P28" s="142"/>
    </row>
    <row r="29" spans="1:18" x14ac:dyDescent="0.2">
      <c r="A29" s="139" t="s">
        <v>20</v>
      </c>
      <c r="B29" s="10">
        <v>27138333.23</v>
      </c>
      <c r="C29" s="10">
        <v>27138333.23</v>
      </c>
      <c r="D29" s="11">
        <v>0</v>
      </c>
      <c r="E29" s="10">
        <v>26415966.23</v>
      </c>
      <c r="F29" s="12">
        <f t="shared" ref="F29:F34" si="9">+E29/C29</f>
        <v>0.97338204251978666</v>
      </c>
      <c r="G29" s="10">
        <f t="shared" si="7"/>
        <v>722367</v>
      </c>
      <c r="H29" s="13">
        <v>2108137.33</v>
      </c>
      <c r="I29" s="14">
        <f>181846+1000</f>
        <v>182846</v>
      </c>
      <c r="J29" s="14">
        <f>1307677+16708.93+21550.06+222680.34</f>
        <v>1568616.33</v>
      </c>
      <c r="K29" s="14">
        <f t="shared" ref="K29:K36" si="10">H29+I29-J29</f>
        <v>722367</v>
      </c>
      <c r="L29" s="15">
        <f t="shared" ref="L29:L41" si="11">+F29</f>
        <v>0.97338204251978666</v>
      </c>
      <c r="M29" s="62">
        <f t="shared" si="8"/>
        <v>0</v>
      </c>
      <c r="N29" s="184"/>
      <c r="O29" s="151"/>
    </row>
    <row r="30" spans="1:18" x14ac:dyDescent="0.2">
      <c r="A30" s="139" t="s">
        <v>21</v>
      </c>
      <c r="B30" s="10">
        <v>321506.03999999998</v>
      </c>
      <c r="C30" s="10">
        <f>+B30-280892.37</f>
        <v>40613.669999999984</v>
      </c>
      <c r="D30" s="11">
        <v>0</v>
      </c>
      <c r="E30" s="11">
        <v>40613.67</v>
      </c>
      <c r="F30" s="12">
        <f t="shared" si="9"/>
        <v>1.0000000000000004</v>
      </c>
      <c r="G30" s="109">
        <f t="shared" si="7"/>
        <v>0</v>
      </c>
      <c r="H30" s="13">
        <v>0</v>
      </c>
      <c r="I30" s="14">
        <v>0</v>
      </c>
      <c r="J30" s="14">
        <v>0</v>
      </c>
      <c r="K30" s="14">
        <f t="shared" si="10"/>
        <v>0</v>
      </c>
      <c r="L30" s="15">
        <f t="shared" si="11"/>
        <v>1.0000000000000004</v>
      </c>
      <c r="M30" s="62">
        <f t="shared" si="8"/>
        <v>0</v>
      </c>
      <c r="N30" s="183"/>
    </row>
    <row r="31" spans="1:18" x14ac:dyDescent="0.2">
      <c r="A31" s="139" t="s">
        <v>22</v>
      </c>
      <c r="B31" s="10">
        <v>570803.89</v>
      </c>
      <c r="C31" s="10">
        <f>+B31-491970.23</f>
        <v>78833.660000000033</v>
      </c>
      <c r="D31" s="11">
        <v>0</v>
      </c>
      <c r="E31" s="11">
        <v>78833.66</v>
      </c>
      <c r="F31" s="12">
        <f t="shared" si="9"/>
        <v>0.99999999999999967</v>
      </c>
      <c r="G31" s="109">
        <f t="shared" si="7"/>
        <v>0</v>
      </c>
      <c r="H31" s="13">
        <v>0</v>
      </c>
      <c r="I31" s="14">
        <v>0</v>
      </c>
      <c r="J31" s="14">
        <v>0</v>
      </c>
      <c r="K31" s="14">
        <f t="shared" si="10"/>
        <v>0</v>
      </c>
      <c r="L31" s="15">
        <f t="shared" si="11"/>
        <v>0.99999999999999967</v>
      </c>
      <c r="M31" s="62">
        <f t="shared" si="8"/>
        <v>0</v>
      </c>
      <c r="N31" s="183"/>
    </row>
    <row r="32" spans="1:18" x14ac:dyDescent="0.2">
      <c r="A32" s="139" t="s">
        <v>23</v>
      </c>
      <c r="B32" s="10">
        <v>1307693.44</v>
      </c>
      <c r="C32" s="10">
        <f>+B32-1273287.15</f>
        <v>34406.290000000037</v>
      </c>
      <c r="D32" s="11">
        <v>0</v>
      </c>
      <c r="E32" s="11">
        <v>34406.29</v>
      </c>
      <c r="F32" s="12">
        <f t="shared" si="9"/>
        <v>0.99999999999999889</v>
      </c>
      <c r="G32" s="109">
        <f t="shared" si="7"/>
        <v>0</v>
      </c>
      <c r="H32" s="13">
        <v>0</v>
      </c>
      <c r="I32" s="14">
        <v>0</v>
      </c>
      <c r="J32" s="14">
        <v>0</v>
      </c>
      <c r="K32" s="14">
        <f t="shared" si="10"/>
        <v>0</v>
      </c>
      <c r="L32" s="15">
        <f t="shared" si="11"/>
        <v>0.99999999999999889</v>
      </c>
      <c r="M32" s="62">
        <f t="shared" si="8"/>
        <v>0</v>
      </c>
      <c r="N32" s="183"/>
    </row>
    <row r="33" spans="1:18" x14ac:dyDescent="0.2">
      <c r="A33" s="139" t="s">
        <v>24</v>
      </c>
      <c r="B33" s="10">
        <v>14234360.859999999</v>
      </c>
      <c r="C33" s="10">
        <f>+B33-14197791.76</f>
        <v>36569.099999999627</v>
      </c>
      <c r="D33" s="11">
        <v>0</v>
      </c>
      <c r="E33" s="10">
        <v>208.8</v>
      </c>
      <c r="F33" s="12">
        <f t="shared" si="9"/>
        <v>5.7097385497592813E-3</v>
      </c>
      <c r="G33" s="109">
        <f t="shared" si="7"/>
        <v>36360.299999999625</v>
      </c>
      <c r="H33" s="13">
        <v>-340080.7</v>
      </c>
      <c r="I33" s="14">
        <v>782752</v>
      </c>
      <c r="J33" s="14">
        <f>280823+125488</f>
        <v>406311</v>
      </c>
      <c r="K33" s="14">
        <f t="shared" si="10"/>
        <v>36360.299999999988</v>
      </c>
      <c r="L33" s="15">
        <f t="shared" si="11"/>
        <v>5.7097385497592813E-3</v>
      </c>
      <c r="M33" s="62">
        <f t="shared" si="8"/>
        <v>3.637978807091713E-10</v>
      </c>
      <c r="N33" s="183"/>
      <c r="O33" s="151"/>
    </row>
    <row r="34" spans="1:18" x14ac:dyDescent="0.2">
      <c r="A34" s="139" t="s">
        <v>25</v>
      </c>
      <c r="B34" s="10">
        <v>658261.61</v>
      </c>
      <c r="C34" s="10">
        <f>+B34-367499.68</f>
        <v>290761.93</v>
      </c>
      <c r="D34" s="11">
        <v>0</v>
      </c>
      <c r="E34" s="10">
        <v>281389.86</v>
      </c>
      <c r="F34" s="12">
        <f t="shared" si="9"/>
        <v>0.96776720391146109</v>
      </c>
      <c r="G34" s="109">
        <f t="shared" si="7"/>
        <v>9372.070000000007</v>
      </c>
      <c r="H34" s="13">
        <v>56340.94</v>
      </c>
      <c r="I34" s="14">
        <v>0</v>
      </c>
      <c r="J34" s="14">
        <v>46968.87</v>
      </c>
      <c r="K34" s="14">
        <f t="shared" si="10"/>
        <v>9372.07</v>
      </c>
      <c r="L34" s="15">
        <f t="shared" si="11"/>
        <v>0.96776720391146109</v>
      </c>
      <c r="M34" s="62">
        <f t="shared" si="8"/>
        <v>0</v>
      </c>
      <c r="N34" s="183"/>
    </row>
    <row r="35" spans="1:18" x14ac:dyDescent="0.2">
      <c r="A35" s="139" t="s">
        <v>53</v>
      </c>
      <c r="B35" s="10">
        <v>158979.12</v>
      </c>
      <c r="C35" s="10">
        <f>+B35</f>
        <v>158979.12</v>
      </c>
      <c r="D35" s="11">
        <v>0</v>
      </c>
      <c r="E35" s="11">
        <v>120000</v>
      </c>
      <c r="F35" s="12">
        <v>0</v>
      </c>
      <c r="G35" s="201">
        <f t="shared" si="7"/>
        <v>38979.119999999995</v>
      </c>
      <c r="H35" s="11">
        <v>43979.12</v>
      </c>
      <c r="I35" s="14">
        <v>0</v>
      </c>
      <c r="J35" s="14">
        <v>5000</v>
      </c>
      <c r="K35" s="14">
        <f t="shared" si="10"/>
        <v>38979.120000000003</v>
      </c>
      <c r="L35" s="15">
        <f t="shared" si="11"/>
        <v>0</v>
      </c>
      <c r="M35" s="62">
        <f t="shared" si="8"/>
        <v>0</v>
      </c>
      <c r="N35" s="183"/>
    </row>
    <row r="36" spans="1:18" x14ac:dyDescent="0.2">
      <c r="A36" s="139" t="s">
        <v>28</v>
      </c>
      <c r="B36" s="10">
        <v>47798.07</v>
      </c>
      <c r="C36" s="10">
        <f>+B36-23516.14</f>
        <v>24281.93</v>
      </c>
      <c r="D36" s="11">
        <v>0</v>
      </c>
      <c r="E36" s="11">
        <v>0</v>
      </c>
      <c r="F36" s="12">
        <v>0</v>
      </c>
      <c r="G36" s="201">
        <f t="shared" si="7"/>
        <v>24281.93</v>
      </c>
      <c r="H36" s="11">
        <v>24281.93</v>
      </c>
      <c r="I36" s="14">
        <v>0</v>
      </c>
      <c r="J36" s="14">
        <v>0</v>
      </c>
      <c r="K36" s="14">
        <f t="shared" si="10"/>
        <v>24281.93</v>
      </c>
      <c r="L36" s="15">
        <f t="shared" si="11"/>
        <v>0</v>
      </c>
      <c r="M36" s="62">
        <f t="shared" si="8"/>
        <v>0</v>
      </c>
      <c r="N36" s="152"/>
    </row>
    <row r="37" spans="1:18" x14ac:dyDescent="0.2">
      <c r="A37" s="139" t="s">
        <v>29</v>
      </c>
      <c r="B37" s="10">
        <v>27972730</v>
      </c>
      <c r="C37" s="10">
        <f>+B37-27809818.06</f>
        <v>162911.94000000134</v>
      </c>
      <c r="D37" s="11">
        <v>186451.15</v>
      </c>
      <c r="E37" s="11">
        <v>0</v>
      </c>
      <c r="F37" s="12">
        <f>+E37/C37</f>
        <v>0</v>
      </c>
      <c r="G37" s="109">
        <f t="shared" si="7"/>
        <v>349363.09000000136</v>
      </c>
      <c r="H37" s="13">
        <v>656033.13</v>
      </c>
      <c r="I37" s="14">
        <f>-1</f>
        <v>-1</v>
      </c>
      <c r="J37" s="14">
        <f>219666.96+67322.53+19679.55</f>
        <v>306669.03999999998</v>
      </c>
      <c r="K37" s="14">
        <f>H37+I37-J37</f>
        <v>349363.09</v>
      </c>
      <c r="L37" s="15">
        <f t="shared" si="11"/>
        <v>0</v>
      </c>
      <c r="M37" s="62">
        <f t="shared" si="8"/>
        <v>-1.3387762010097504E-9</v>
      </c>
      <c r="N37" s="184"/>
    </row>
    <row r="38" spans="1:18" x14ac:dyDescent="0.2">
      <c r="A38" s="139" t="s">
        <v>30</v>
      </c>
      <c r="B38" s="10">
        <v>21170988.52</v>
      </c>
      <c r="C38" s="10">
        <f>+B38-21163370.79</f>
        <v>7617.730000000447</v>
      </c>
      <c r="D38" s="11">
        <v>0</v>
      </c>
      <c r="E38" s="10">
        <v>0</v>
      </c>
      <c r="F38" s="12">
        <f>+E38/C38</f>
        <v>0</v>
      </c>
      <c r="G38" s="109">
        <f t="shared" si="7"/>
        <v>7617.730000000447</v>
      </c>
      <c r="H38" s="13">
        <v>113156.96</v>
      </c>
      <c r="I38" s="14">
        <f>63664.06+25043.71</f>
        <v>88707.76999999999</v>
      </c>
      <c r="J38" s="14">
        <f>170257+6000+17990</f>
        <v>194247</v>
      </c>
      <c r="K38" s="14">
        <f>H38+I38-J38</f>
        <v>7617.7299999999814</v>
      </c>
      <c r="L38" s="15">
        <f t="shared" si="11"/>
        <v>0</v>
      </c>
      <c r="M38" s="107">
        <f t="shared" si="8"/>
        <v>-4.6566128730773926E-10</v>
      </c>
      <c r="N38" s="185"/>
      <c r="Q38" s="141"/>
      <c r="R38" s="144"/>
    </row>
    <row r="39" spans="1:18" ht="27" x14ac:dyDescent="0.2">
      <c r="A39" s="139" t="s">
        <v>56</v>
      </c>
      <c r="B39" s="10">
        <v>1500000</v>
      </c>
      <c r="C39" s="10">
        <f>1500000-1499965.2</f>
        <v>34.800000000046566</v>
      </c>
      <c r="D39" s="11">
        <v>0</v>
      </c>
      <c r="E39" s="10">
        <v>0</v>
      </c>
      <c r="F39" s="12">
        <f>+E39/C39</f>
        <v>0</v>
      </c>
      <c r="G39" s="109">
        <f t="shared" si="7"/>
        <v>34.800000000046566</v>
      </c>
      <c r="H39" s="13">
        <v>34.799999999999997</v>
      </c>
      <c r="I39" s="14">
        <v>0</v>
      </c>
      <c r="J39" s="14">
        <v>0</v>
      </c>
      <c r="K39" s="14">
        <f>H39+I39-J39</f>
        <v>34.799999999999997</v>
      </c>
      <c r="L39" s="15">
        <f t="shared" si="11"/>
        <v>0</v>
      </c>
      <c r="M39" s="107">
        <f t="shared" si="8"/>
        <v>-4.6568970901716966E-11</v>
      </c>
      <c r="N39" s="185"/>
      <c r="Q39" s="141"/>
      <c r="R39" s="144"/>
    </row>
    <row r="40" spans="1:18" x14ac:dyDescent="0.2">
      <c r="A40" s="139" t="s">
        <v>58</v>
      </c>
      <c r="B40" s="10">
        <v>8800000</v>
      </c>
      <c r="C40" s="10">
        <f>+B40-8793327.97</f>
        <v>6672.0299999993294</v>
      </c>
      <c r="D40" s="11">
        <v>0</v>
      </c>
      <c r="E40" s="10">
        <v>0</v>
      </c>
      <c r="F40" s="12">
        <f>+E40/C40</f>
        <v>0</v>
      </c>
      <c r="G40" s="109">
        <f t="shared" si="7"/>
        <v>6672.0299999993294</v>
      </c>
      <c r="H40" s="13">
        <v>136749.53</v>
      </c>
      <c r="I40" s="14">
        <v>0</v>
      </c>
      <c r="J40" s="14">
        <f>75804.55+37902.27+11370.68+5000</f>
        <v>130077.5</v>
      </c>
      <c r="K40" s="14">
        <f>H40+I40-J40</f>
        <v>6672.0299999999988</v>
      </c>
      <c r="L40" s="15">
        <f t="shared" si="11"/>
        <v>0</v>
      </c>
      <c r="M40" s="107">
        <f t="shared" si="8"/>
        <v>6.6938810050487518E-10</v>
      </c>
      <c r="N40" s="185"/>
      <c r="Q40" s="141"/>
      <c r="R40" s="144"/>
    </row>
    <row r="41" spans="1:18" x14ac:dyDescent="0.2">
      <c r="A41" s="139" t="s">
        <v>57</v>
      </c>
      <c r="B41" s="10">
        <v>3362600</v>
      </c>
      <c r="C41" s="10">
        <f>+B41-3361389.36</f>
        <v>1210.6400000001304</v>
      </c>
      <c r="D41" s="11">
        <v>0</v>
      </c>
      <c r="E41" s="10">
        <v>0</v>
      </c>
      <c r="F41" s="12">
        <f>+E41/C41</f>
        <v>0</v>
      </c>
      <c r="G41" s="109">
        <f t="shared" si="7"/>
        <v>1210.6400000001304</v>
      </c>
      <c r="H41" s="13">
        <v>54023.49</v>
      </c>
      <c r="I41" s="14">
        <v>0</v>
      </c>
      <c r="J41" s="14">
        <f>28977.48+14488.74+4346.63+5000</f>
        <v>52812.85</v>
      </c>
      <c r="K41" s="14">
        <f>H41+I41-J41</f>
        <v>1210.6399999999994</v>
      </c>
      <c r="L41" s="15">
        <f t="shared" si="11"/>
        <v>0</v>
      </c>
      <c r="M41" s="107">
        <f t="shared" si="8"/>
        <v>-1.3096723705530167E-10</v>
      </c>
      <c r="N41" s="185"/>
      <c r="Q41" s="141"/>
      <c r="R41" s="144"/>
    </row>
    <row r="42" spans="1:18" s="5" customFormat="1" x14ac:dyDescent="0.2">
      <c r="A42" s="20" t="s">
        <v>51</v>
      </c>
      <c r="B42" s="21">
        <f t="shared" ref="B42:K42" si="12">SUM(B28:B38)</f>
        <v>103250242.27999999</v>
      </c>
      <c r="C42" s="21">
        <f t="shared" si="12"/>
        <v>28833103.990000006</v>
      </c>
      <c r="D42" s="21">
        <f t="shared" si="12"/>
        <v>186451.15</v>
      </c>
      <c r="E42" s="21">
        <f t="shared" si="12"/>
        <v>27097620.73</v>
      </c>
      <c r="F42" s="21">
        <f t="shared" si="12"/>
        <v>5.0936406745176299</v>
      </c>
      <c r="G42" s="21">
        <f t="shared" si="12"/>
        <v>1921934.410000002</v>
      </c>
      <c r="H42" s="21">
        <f t="shared" si="12"/>
        <v>3422185.15</v>
      </c>
      <c r="I42" s="21">
        <f t="shared" si="12"/>
        <v>1166509.79</v>
      </c>
      <c r="J42" s="21">
        <f t="shared" si="12"/>
        <v>2666760.5300000003</v>
      </c>
      <c r="K42" s="21">
        <f t="shared" si="12"/>
        <v>1921934.4100000001</v>
      </c>
      <c r="L42" s="23"/>
      <c r="M42" s="61"/>
      <c r="N42" s="203"/>
      <c r="O42" s="143"/>
      <c r="P42" s="143"/>
    </row>
    <row r="43" spans="1:18" s="17" customFormat="1" x14ac:dyDescent="0.25">
      <c r="A43" s="139" t="s">
        <v>18</v>
      </c>
      <c r="B43" s="10">
        <f>+C43</f>
        <v>557287.6400000006</v>
      </c>
      <c r="C43" s="10">
        <f>9497181.34-8522902.7-416991</f>
        <v>557287.6400000006</v>
      </c>
      <c r="D43" s="11">
        <v>0</v>
      </c>
      <c r="E43" s="10">
        <v>2038.23</v>
      </c>
      <c r="F43" s="12">
        <f>+E43/C43</f>
        <v>3.657411099230548E-3</v>
      </c>
      <c r="G43" s="10">
        <f>+C43+D43-E43</f>
        <v>555249.41000000061</v>
      </c>
      <c r="H43" s="13">
        <f>362224.72-0.47</f>
        <v>362224.25</v>
      </c>
      <c r="I43" s="14">
        <f>22013.2+172259.48</f>
        <v>194272.68000000002</v>
      </c>
      <c r="J43" s="14">
        <f>-4302.52+5550.04</f>
        <v>1247.5199999999995</v>
      </c>
      <c r="K43" s="14">
        <f>H43+I43-J43</f>
        <v>555249.41</v>
      </c>
      <c r="L43" s="15">
        <f>+F43</f>
        <v>3.657411099230548E-3</v>
      </c>
      <c r="M43" s="155">
        <f t="shared" ref="M43:M52" si="13">+K43-G43</f>
        <v>0</v>
      </c>
      <c r="N43" s="202"/>
      <c r="O43" s="142"/>
      <c r="P43" s="142"/>
    </row>
    <row r="44" spans="1:18" x14ac:dyDescent="0.2">
      <c r="A44" s="139" t="s">
        <v>20</v>
      </c>
      <c r="B44" s="10">
        <v>0</v>
      </c>
      <c r="C44" s="10">
        <f>981063.54-174602.54</f>
        <v>806461</v>
      </c>
      <c r="D44" s="11">
        <v>0</v>
      </c>
      <c r="E44" s="10">
        <v>0</v>
      </c>
      <c r="F44" s="12">
        <f t="shared" ref="F44:F53" si="14">+E44/C44</f>
        <v>0</v>
      </c>
      <c r="G44" s="10">
        <f>+C44+D44-E44</f>
        <v>806461</v>
      </c>
      <c r="H44" s="13">
        <v>1795340.56</v>
      </c>
      <c r="I44" s="14">
        <v>1162</v>
      </c>
      <c r="J44" s="14">
        <f>272555.03+160187.53+557299</f>
        <v>990041.56</v>
      </c>
      <c r="K44" s="14">
        <f t="shared" ref="K44:K69" si="15">H44+I44-J44</f>
        <v>806461</v>
      </c>
      <c r="L44" s="15">
        <f t="shared" ref="L44:L53" si="16">+F44</f>
        <v>0</v>
      </c>
      <c r="M44" s="62">
        <f>+K44-G44</f>
        <v>0</v>
      </c>
      <c r="N44" s="205"/>
    </row>
    <row r="45" spans="1:18" x14ac:dyDescent="0.2">
      <c r="A45" s="139" t="s">
        <v>21</v>
      </c>
      <c r="B45" s="10">
        <f t="shared" ref="B45:B53" si="17">+C45</f>
        <v>465.82999999998719</v>
      </c>
      <c r="C45" s="10">
        <f>266576.99-80893-185218.16</f>
        <v>465.82999999998719</v>
      </c>
      <c r="D45" s="11">
        <v>0</v>
      </c>
      <c r="E45" s="10">
        <v>0</v>
      </c>
      <c r="F45" s="12">
        <f t="shared" si="14"/>
        <v>0</v>
      </c>
      <c r="G45" s="10">
        <f>+C45+D45-E45</f>
        <v>465.82999999998719</v>
      </c>
      <c r="H45" s="13">
        <v>465.83</v>
      </c>
      <c r="I45" s="14">
        <v>0</v>
      </c>
      <c r="J45" s="14">
        <v>0</v>
      </c>
      <c r="K45" s="14">
        <f t="shared" si="15"/>
        <v>465.83</v>
      </c>
      <c r="L45" s="15">
        <f t="shared" si="16"/>
        <v>0</v>
      </c>
      <c r="M45" s="155">
        <f t="shared" si="13"/>
        <v>1.2789769243681803E-11</v>
      </c>
      <c r="N45" s="183"/>
    </row>
    <row r="46" spans="1:18" x14ac:dyDescent="0.2">
      <c r="A46" s="139" t="s">
        <v>22</v>
      </c>
      <c r="B46" s="10">
        <f t="shared" si="17"/>
        <v>6067.4599999999627</v>
      </c>
      <c r="C46" s="10">
        <f>375412.66-201977-167368.2</f>
        <v>6067.4599999999627</v>
      </c>
      <c r="D46" s="10">
        <v>149.51</v>
      </c>
      <c r="E46" s="10">
        <v>0</v>
      </c>
      <c r="F46" s="12">
        <f t="shared" si="14"/>
        <v>0</v>
      </c>
      <c r="G46" s="10">
        <f t="shared" ref="G46:G51" si="18">+C46+D46-E46</f>
        <v>6216.969999999963</v>
      </c>
      <c r="H46" s="13">
        <v>6216.97</v>
      </c>
      <c r="I46" s="14">
        <v>0</v>
      </c>
      <c r="J46" s="14">
        <v>0</v>
      </c>
      <c r="K46" s="14">
        <f t="shared" si="15"/>
        <v>6216.97</v>
      </c>
      <c r="L46" s="15">
        <f t="shared" si="16"/>
        <v>0</v>
      </c>
      <c r="M46" s="62">
        <f t="shared" si="13"/>
        <v>3.7289282772690058E-11</v>
      </c>
      <c r="N46" s="183"/>
    </row>
    <row r="47" spans="1:18" x14ac:dyDescent="0.2">
      <c r="A47" s="139" t="s">
        <v>23</v>
      </c>
      <c r="B47" s="10">
        <f t="shared" si="17"/>
        <v>17016.04999999993</v>
      </c>
      <c r="C47" s="10">
        <f>1302246.39-788192.61-497037.73</f>
        <v>17016.04999999993</v>
      </c>
      <c r="D47" s="10">
        <v>408.58</v>
      </c>
      <c r="E47" s="10">
        <v>0</v>
      </c>
      <c r="F47" s="12">
        <f t="shared" si="14"/>
        <v>0</v>
      </c>
      <c r="G47" s="10">
        <f t="shared" si="18"/>
        <v>17424.629999999932</v>
      </c>
      <c r="H47" s="13">
        <v>17424.63</v>
      </c>
      <c r="I47" s="14">
        <v>0</v>
      </c>
      <c r="J47" s="14">
        <v>0</v>
      </c>
      <c r="K47" s="14">
        <f t="shared" si="15"/>
        <v>17424.63</v>
      </c>
      <c r="L47" s="15">
        <f t="shared" si="16"/>
        <v>0</v>
      </c>
      <c r="M47" s="155">
        <f t="shared" si="13"/>
        <v>6.9121597334742546E-11</v>
      </c>
      <c r="N47" s="183"/>
    </row>
    <row r="48" spans="1:18" x14ac:dyDescent="0.2">
      <c r="A48" s="139" t="s">
        <v>24</v>
      </c>
      <c r="B48" s="10">
        <f t="shared" si="17"/>
        <v>412246.5499999997</v>
      </c>
      <c r="C48" s="10">
        <f>13636634.35-13212786.17-11601.63</f>
        <v>412246.5499999997</v>
      </c>
      <c r="D48" s="11">
        <v>-459</v>
      </c>
      <c r="E48" s="10">
        <v>0</v>
      </c>
      <c r="F48" s="12">
        <f t="shared" si="14"/>
        <v>0</v>
      </c>
      <c r="G48" s="10">
        <f>+C48+D48-E48</f>
        <v>411787.5499999997</v>
      </c>
      <c r="H48" s="13">
        <v>37530.339999999997</v>
      </c>
      <c r="I48" s="14">
        <v>456237</v>
      </c>
      <c r="J48" s="14">
        <f>52394.42+7312.79+22272.58</f>
        <v>81979.790000000008</v>
      </c>
      <c r="K48" s="14">
        <f t="shared" si="15"/>
        <v>411787.54999999993</v>
      </c>
      <c r="L48" s="15">
        <f t="shared" si="16"/>
        <v>0</v>
      </c>
      <c r="M48" s="62">
        <f t="shared" si="13"/>
        <v>0</v>
      </c>
      <c r="N48" s="183"/>
    </row>
    <row r="49" spans="1:16" x14ac:dyDescent="0.2">
      <c r="A49" s="139" t="s">
        <v>25</v>
      </c>
      <c r="B49" s="10">
        <f t="shared" si="17"/>
        <v>5151.3900000000722</v>
      </c>
      <c r="C49" s="10">
        <f>868753.03-542712.97-320888.67</f>
        <v>5151.3900000000722</v>
      </c>
      <c r="D49" s="10">
        <v>131.31</v>
      </c>
      <c r="E49" s="10">
        <v>0</v>
      </c>
      <c r="F49" s="12">
        <f t="shared" si="14"/>
        <v>0</v>
      </c>
      <c r="G49" s="10">
        <f t="shared" si="18"/>
        <v>5282.7000000000726</v>
      </c>
      <c r="H49" s="13">
        <v>5282.7</v>
      </c>
      <c r="I49" s="14">
        <v>0</v>
      </c>
      <c r="J49" s="14">
        <v>0</v>
      </c>
      <c r="K49" s="14">
        <f t="shared" si="15"/>
        <v>5282.7</v>
      </c>
      <c r="L49" s="15">
        <f t="shared" si="16"/>
        <v>0</v>
      </c>
      <c r="M49" s="155">
        <f t="shared" si="13"/>
        <v>-7.2759576141834259E-11</v>
      </c>
      <c r="N49" s="183"/>
    </row>
    <row r="50" spans="1:16" x14ac:dyDescent="0.2">
      <c r="A50" s="139" t="s">
        <v>27</v>
      </c>
      <c r="B50" s="10">
        <f t="shared" si="17"/>
        <v>3767.3699999999953</v>
      </c>
      <c r="C50" s="10">
        <f>573447.69-569680.32</f>
        <v>3767.3699999999953</v>
      </c>
      <c r="D50" s="11">
        <v>0</v>
      </c>
      <c r="E50" s="10">
        <v>0</v>
      </c>
      <c r="F50" s="12">
        <f t="shared" si="14"/>
        <v>0</v>
      </c>
      <c r="G50" s="10">
        <f t="shared" si="18"/>
        <v>3767.3699999999953</v>
      </c>
      <c r="H50" s="13">
        <v>3767.37</v>
      </c>
      <c r="I50" s="14">
        <v>0</v>
      </c>
      <c r="J50" s="14">
        <v>0</v>
      </c>
      <c r="K50" s="14">
        <f t="shared" si="15"/>
        <v>3767.37</v>
      </c>
      <c r="L50" s="15">
        <f t="shared" si="16"/>
        <v>0</v>
      </c>
      <c r="M50" s="62">
        <f t="shared" si="13"/>
        <v>4.5474735088646412E-12</v>
      </c>
      <c r="N50" s="183"/>
    </row>
    <row r="51" spans="1:16" x14ac:dyDescent="0.2">
      <c r="A51" s="139" t="s">
        <v>28</v>
      </c>
      <c r="B51" s="10">
        <f t="shared" si="17"/>
        <v>542.31999999999971</v>
      </c>
      <c r="C51" s="10">
        <f>36484.65-0-35942.33</f>
        <v>542.31999999999971</v>
      </c>
      <c r="D51" s="11">
        <v>0</v>
      </c>
      <c r="E51" s="10">
        <v>0</v>
      </c>
      <c r="F51" s="12">
        <f t="shared" si="14"/>
        <v>0</v>
      </c>
      <c r="G51" s="10">
        <f t="shared" si="18"/>
        <v>542.31999999999971</v>
      </c>
      <c r="H51" s="13">
        <v>542.32000000000005</v>
      </c>
      <c r="I51" s="14">
        <v>0</v>
      </c>
      <c r="J51" s="14">
        <v>0</v>
      </c>
      <c r="K51" s="14">
        <f t="shared" si="15"/>
        <v>542.32000000000005</v>
      </c>
      <c r="L51" s="15">
        <f t="shared" si="16"/>
        <v>0</v>
      </c>
      <c r="M51" s="155">
        <f t="shared" si="13"/>
        <v>0</v>
      </c>
      <c r="N51" s="183"/>
    </row>
    <row r="52" spans="1:16" x14ac:dyDescent="0.2">
      <c r="A52" s="139" t="s">
        <v>29</v>
      </c>
      <c r="B52" s="10">
        <f>+C52</f>
        <v>489577.01999999862</v>
      </c>
      <c r="C52" s="10">
        <f>25804148.7-21535015.98-3779555.7</f>
        <v>489577.01999999862</v>
      </c>
      <c r="D52" s="45"/>
      <c r="E52" s="10">
        <v>0</v>
      </c>
      <c r="F52" s="12">
        <f t="shared" si="14"/>
        <v>0</v>
      </c>
      <c r="G52" s="10">
        <f>+C52+D52-E52</f>
        <v>489577.01999999862</v>
      </c>
      <c r="H52" s="13">
        <f>2255525.44-1688966.46</f>
        <v>566558.98</v>
      </c>
      <c r="I52" s="14">
        <v>122706.07</v>
      </c>
      <c r="J52" s="14">
        <f>20016.25+99956.62+61086.68+18628.48</f>
        <v>199688.03</v>
      </c>
      <c r="K52" s="14">
        <f>H52+I52-J52</f>
        <v>489577.02</v>
      </c>
      <c r="L52" s="15">
        <f t="shared" si="16"/>
        <v>0</v>
      </c>
      <c r="M52" s="62">
        <f t="shared" si="13"/>
        <v>1.3969838619232178E-9</v>
      </c>
      <c r="N52" s="184"/>
    </row>
    <row r="53" spans="1:16" x14ac:dyDescent="0.2">
      <c r="A53" s="139" t="s">
        <v>30</v>
      </c>
      <c r="B53" s="10">
        <f t="shared" si="17"/>
        <v>193749.02000000025</v>
      </c>
      <c r="C53" s="10">
        <f>19272341-17976826.68-1101765.3</f>
        <v>193749.02000000025</v>
      </c>
      <c r="D53" s="10">
        <v>4227.0200000000004</v>
      </c>
      <c r="E53" s="10">
        <v>0</v>
      </c>
      <c r="F53" s="12">
        <f t="shared" si="14"/>
        <v>0</v>
      </c>
      <c r="G53" s="10">
        <f>+C53+D53-E53</f>
        <v>197976.04000000024</v>
      </c>
      <c r="H53" s="13">
        <v>171700.75</v>
      </c>
      <c r="I53" s="14">
        <v>296402</v>
      </c>
      <c r="J53" s="14">
        <f>26299+244312.48</f>
        <v>270611.48</v>
      </c>
      <c r="K53" s="14">
        <f>H53+I53-J53</f>
        <v>197491.27000000002</v>
      </c>
      <c r="L53" s="15">
        <f t="shared" si="16"/>
        <v>0</v>
      </c>
      <c r="M53" s="155">
        <f>+K53-G53</f>
        <v>-484.77000000022235</v>
      </c>
      <c r="N53" s="185"/>
    </row>
    <row r="54" spans="1:16" s="5" customFormat="1" x14ac:dyDescent="0.2">
      <c r="A54" s="20" t="s">
        <v>33</v>
      </c>
      <c r="B54" s="21">
        <f>SUM(B43:B53)</f>
        <v>1685870.649999999</v>
      </c>
      <c r="C54" s="21">
        <f>SUM(C43:C53)</f>
        <v>2492331.6499999994</v>
      </c>
      <c r="D54" s="21">
        <f>SUM(D43:D53)</f>
        <v>4457.42</v>
      </c>
      <c r="E54" s="21">
        <f>SUM(E43:E53)</f>
        <v>2038.23</v>
      </c>
      <c r="F54" s="22">
        <f>+E54/C54</f>
        <v>8.178004721000917E-4</v>
      </c>
      <c r="G54" s="21">
        <f>SUM(G43:G53)</f>
        <v>2494750.8399999989</v>
      </c>
      <c r="H54" s="21">
        <f>SUM(H43:H53)</f>
        <v>2967054.7</v>
      </c>
      <c r="I54" s="21">
        <f>SUM(I43:I53)</f>
        <v>1070779.75</v>
      </c>
      <c r="J54" s="21">
        <f>SUM(J43:J53)</f>
        <v>1543568.3800000001</v>
      </c>
      <c r="K54" s="21">
        <f>SUM(K43:K53)</f>
        <v>2494266.0700000003</v>
      </c>
      <c r="L54" s="23"/>
      <c r="M54" s="62">
        <f t="shared" ref="M54:M70" si="19">+K54-G54</f>
        <v>-484.76999999862164</v>
      </c>
      <c r="N54" s="204"/>
      <c r="O54" s="143"/>
      <c r="P54" s="143"/>
    </row>
    <row r="55" spans="1:16" x14ac:dyDescent="0.2">
      <c r="A55" s="139" t="s">
        <v>34</v>
      </c>
      <c r="B55" s="10">
        <v>0</v>
      </c>
      <c r="C55" s="10">
        <v>256006.06</v>
      </c>
      <c r="D55" s="13">
        <v>440.75</v>
      </c>
      <c r="E55" s="10">
        <v>0</v>
      </c>
      <c r="F55" s="12">
        <v>0</v>
      </c>
      <c r="G55" s="10">
        <f>+C55+D55-E55</f>
        <v>256446.81</v>
      </c>
      <c r="H55" s="10">
        <v>238695.02</v>
      </c>
      <c r="I55" s="10">
        <v>30099.8</v>
      </c>
      <c r="J55" s="10">
        <v>12348.01</v>
      </c>
      <c r="K55" s="10">
        <f t="shared" si="15"/>
        <v>256446.81</v>
      </c>
      <c r="L55" s="15"/>
      <c r="M55" s="62">
        <f t="shared" si="19"/>
        <v>0</v>
      </c>
      <c r="N55" s="183"/>
    </row>
    <row r="56" spans="1:16" x14ac:dyDescent="0.2">
      <c r="A56" s="20" t="s">
        <v>35</v>
      </c>
      <c r="B56" s="25">
        <f t="shared" ref="B56:K56" si="20">SUM(B55:B55)</f>
        <v>0</v>
      </c>
      <c r="C56" s="25">
        <f t="shared" si="20"/>
        <v>256006.06</v>
      </c>
      <c r="D56" s="25">
        <f t="shared" si="20"/>
        <v>440.75</v>
      </c>
      <c r="E56" s="25">
        <f t="shared" si="20"/>
        <v>0</v>
      </c>
      <c r="F56" s="25">
        <f t="shared" si="20"/>
        <v>0</v>
      </c>
      <c r="G56" s="25">
        <f t="shared" si="20"/>
        <v>256446.81</v>
      </c>
      <c r="H56" s="25">
        <f t="shared" si="20"/>
        <v>238695.02</v>
      </c>
      <c r="I56" s="25">
        <f t="shared" si="20"/>
        <v>30099.8</v>
      </c>
      <c r="J56" s="25">
        <f t="shared" si="20"/>
        <v>12348.01</v>
      </c>
      <c r="K56" s="25">
        <f t="shared" si="20"/>
        <v>256446.81</v>
      </c>
      <c r="L56" s="27"/>
      <c r="M56" s="62">
        <f t="shared" si="19"/>
        <v>0</v>
      </c>
      <c r="N56" s="183"/>
    </row>
    <row r="57" spans="1:16" x14ac:dyDescent="0.2">
      <c r="A57" s="139" t="s">
        <v>18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0.47</v>
      </c>
      <c r="H57" s="10">
        <v>0.47</v>
      </c>
      <c r="I57" s="10">
        <v>0</v>
      </c>
      <c r="J57" s="10">
        <v>0</v>
      </c>
      <c r="K57" s="10">
        <f t="shared" si="15"/>
        <v>0.47</v>
      </c>
      <c r="L57" s="15"/>
      <c r="M57" s="62">
        <f t="shared" si="19"/>
        <v>0</v>
      </c>
      <c r="N57" s="183"/>
    </row>
    <row r="58" spans="1:16" x14ac:dyDescent="0.2">
      <c r="A58" s="139" t="s">
        <v>29</v>
      </c>
      <c r="B58" s="10">
        <v>0</v>
      </c>
      <c r="C58" s="10">
        <v>0</v>
      </c>
      <c r="D58" s="10">
        <v>0</v>
      </c>
      <c r="E58" s="10">
        <v>0</v>
      </c>
      <c r="F58" s="12">
        <v>0</v>
      </c>
      <c r="G58" s="10">
        <v>17.399999999999999</v>
      </c>
      <c r="H58" s="10">
        <v>17.399999999999999</v>
      </c>
      <c r="I58" s="10"/>
      <c r="J58" s="10">
        <v>0</v>
      </c>
      <c r="K58" s="10">
        <f t="shared" si="15"/>
        <v>17.399999999999999</v>
      </c>
      <c r="L58" s="15"/>
      <c r="M58" s="62">
        <f t="shared" si="19"/>
        <v>0</v>
      </c>
      <c r="N58" s="183"/>
    </row>
    <row r="59" spans="1:16" x14ac:dyDescent="0.2">
      <c r="A59" s="20" t="s">
        <v>37</v>
      </c>
      <c r="B59" s="25">
        <f t="shared" ref="B59:K59" si="21">SUM(B57:B58)</f>
        <v>0</v>
      </c>
      <c r="C59" s="25">
        <f t="shared" si="21"/>
        <v>0</v>
      </c>
      <c r="D59" s="25">
        <f t="shared" si="21"/>
        <v>0</v>
      </c>
      <c r="E59" s="25">
        <f t="shared" si="21"/>
        <v>0</v>
      </c>
      <c r="F59" s="25">
        <f t="shared" si="21"/>
        <v>0</v>
      </c>
      <c r="G59" s="25">
        <f t="shared" si="21"/>
        <v>17.869999999999997</v>
      </c>
      <c r="H59" s="25">
        <f t="shared" si="21"/>
        <v>17.869999999999997</v>
      </c>
      <c r="I59" s="25">
        <f t="shared" si="21"/>
        <v>0</v>
      </c>
      <c r="J59" s="25">
        <f t="shared" si="21"/>
        <v>0</v>
      </c>
      <c r="K59" s="25">
        <f t="shared" si="21"/>
        <v>17.869999999999997</v>
      </c>
      <c r="L59" s="27"/>
      <c r="M59" s="62">
        <f>+K59-G59</f>
        <v>0</v>
      </c>
      <c r="N59" s="183"/>
    </row>
    <row r="60" spans="1:16" x14ac:dyDescent="0.2">
      <c r="A60" s="139" t="s">
        <v>18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1392</v>
      </c>
      <c r="H60" s="10">
        <v>1392</v>
      </c>
      <c r="I60" s="10">
        <v>0</v>
      </c>
      <c r="J60" s="10">
        <v>0</v>
      </c>
      <c r="K60" s="10">
        <f t="shared" si="15"/>
        <v>1392</v>
      </c>
      <c r="L60" s="15"/>
      <c r="M60" s="62">
        <f t="shared" si="19"/>
        <v>0</v>
      </c>
      <c r="N60" s="183"/>
    </row>
    <row r="61" spans="1:16" x14ac:dyDescent="0.2">
      <c r="A61" s="139" t="s">
        <v>20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382.8</v>
      </c>
      <c r="H61" s="10">
        <v>382.8</v>
      </c>
      <c r="I61" s="10">
        <v>0</v>
      </c>
      <c r="J61" s="10">
        <v>0</v>
      </c>
      <c r="K61" s="10">
        <f t="shared" si="15"/>
        <v>382.8</v>
      </c>
      <c r="L61" s="15"/>
      <c r="M61" s="62">
        <f t="shared" si="19"/>
        <v>0</v>
      </c>
      <c r="N61" s="183"/>
    </row>
    <row r="62" spans="1:16" x14ac:dyDescent="0.2">
      <c r="A62" s="139" t="s">
        <v>29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242057.67</v>
      </c>
      <c r="H62" s="10">
        <v>242057.67</v>
      </c>
      <c r="I62" s="10">
        <v>0</v>
      </c>
      <c r="J62" s="10">
        <v>0</v>
      </c>
      <c r="K62" s="10">
        <f t="shared" si="15"/>
        <v>242057.67</v>
      </c>
      <c r="L62" s="15"/>
      <c r="M62" s="62">
        <f t="shared" si="19"/>
        <v>0</v>
      </c>
      <c r="N62" s="183"/>
    </row>
    <row r="63" spans="1:16" x14ac:dyDescent="0.2">
      <c r="A63" s="20" t="s">
        <v>38</v>
      </c>
      <c r="B63" s="25">
        <f t="shared" ref="B63:K63" si="22">SUM(B60:B62)</f>
        <v>0</v>
      </c>
      <c r="C63" s="25">
        <f t="shared" si="22"/>
        <v>0</v>
      </c>
      <c r="D63" s="25">
        <f t="shared" si="22"/>
        <v>0</v>
      </c>
      <c r="E63" s="25">
        <f t="shared" si="22"/>
        <v>0</v>
      </c>
      <c r="F63" s="25">
        <f t="shared" si="22"/>
        <v>0</v>
      </c>
      <c r="G63" s="25">
        <f t="shared" si="22"/>
        <v>243832.47</v>
      </c>
      <c r="H63" s="25">
        <f t="shared" si="22"/>
        <v>243832.47</v>
      </c>
      <c r="I63" s="25">
        <f t="shared" si="22"/>
        <v>0</v>
      </c>
      <c r="J63" s="25">
        <f t="shared" si="22"/>
        <v>0</v>
      </c>
      <c r="K63" s="25">
        <f t="shared" si="22"/>
        <v>243832.47</v>
      </c>
      <c r="L63" s="27"/>
      <c r="M63" s="62">
        <f t="shared" si="19"/>
        <v>0</v>
      </c>
      <c r="N63" s="183"/>
    </row>
    <row r="64" spans="1:16" x14ac:dyDescent="0.2">
      <c r="A64" s="139" t="s">
        <v>36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-10</v>
      </c>
      <c r="H64" s="10">
        <v>-10</v>
      </c>
      <c r="I64" s="10">
        <v>0</v>
      </c>
      <c r="J64" s="10">
        <v>0</v>
      </c>
      <c r="K64" s="10">
        <f t="shared" si="15"/>
        <v>-10</v>
      </c>
      <c r="L64" s="15"/>
      <c r="M64" s="62">
        <f t="shared" si="19"/>
        <v>0</v>
      </c>
      <c r="N64" s="183"/>
    </row>
    <row r="65" spans="1:14" x14ac:dyDescent="0.2">
      <c r="A65" s="139" t="s">
        <v>20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219.47</v>
      </c>
      <c r="H65" s="10">
        <v>219.47</v>
      </c>
      <c r="I65" s="10">
        <v>0</v>
      </c>
      <c r="J65" s="10">
        <v>0</v>
      </c>
      <c r="K65" s="10">
        <f t="shared" si="15"/>
        <v>219.47</v>
      </c>
      <c r="L65" s="15"/>
      <c r="M65" s="62">
        <f t="shared" si="19"/>
        <v>0</v>
      </c>
      <c r="N65" s="183"/>
    </row>
    <row r="66" spans="1:14" x14ac:dyDescent="0.2">
      <c r="A66" s="139" t="s">
        <v>24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1150.8900000000001</v>
      </c>
      <c r="H66" s="10">
        <v>42631.81</v>
      </c>
      <c r="I66" s="10">
        <v>412765.08</v>
      </c>
      <c r="J66" s="10">
        <v>454246</v>
      </c>
      <c r="K66" s="10">
        <f t="shared" si="15"/>
        <v>1150.890000000014</v>
      </c>
      <c r="L66" s="15"/>
      <c r="M66" s="62">
        <f t="shared" si="19"/>
        <v>1.3869794202037156E-11</v>
      </c>
      <c r="N66" s="183"/>
    </row>
    <row r="67" spans="1:14" x14ac:dyDescent="0.2">
      <c r="A67" s="139" t="s">
        <v>25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719.87</v>
      </c>
      <c r="H67" s="10">
        <v>719.87</v>
      </c>
      <c r="I67" s="10">
        <v>0</v>
      </c>
      <c r="J67" s="10">
        <v>0</v>
      </c>
      <c r="K67" s="10">
        <f t="shared" si="15"/>
        <v>719.87</v>
      </c>
      <c r="L67" s="15"/>
      <c r="M67" s="62">
        <f t="shared" si="19"/>
        <v>0</v>
      </c>
      <c r="N67" s="183"/>
    </row>
    <row r="68" spans="1:14" x14ac:dyDescent="0.2">
      <c r="A68" s="139" t="s">
        <v>27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267528.84000000003</v>
      </c>
      <c r="H68" s="10">
        <v>0</v>
      </c>
      <c r="I68" s="10">
        <v>267528.84000000003</v>
      </c>
      <c r="J68" s="10">
        <v>0</v>
      </c>
      <c r="K68" s="10">
        <f t="shared" si="15"/>
        <v>267528.84000000003</v>
      </c>
      <c r="L68" s="15"/>
      <c r="M68" s="62">
        <f t="shared" si="19"/>
        <v>0</v>
      </c>
      <c r="N68" s="183"/>
    </row>
    <row r="69" spans="1:14" x14ac:dyDescent="0.2">
      <c r="A69" s="139" t="s">
        <v>29</v>
      </c>
      <c r="B69" s="10">
        <v>0</v>
      </c>
      <c r="C69" s="10">
        <v>0</v>
      </c>
      <c r="D69" s="10"/>
      <c r="E69" s="10">
        <v>0</v>
      </c>
      <c r="F69" s="12">
        <v>0</v>
      </c>
      <c r="G69" s="10">
        <v>236767.4</v>
      </c>
      <c r="H69" s="10">
        <v>243581.68</v>
      </c>
      <c r="I69" s="10">
        <v>0</v>
      </c>
      <c r="J69" s="10">
        <f>2827.74+3986.54</f>
        <v>6814.28</v>
      </c>
      <c r="K69" s="10">
        <f t="shared" si="15"/>
        <v>236767.4</v>
      </c>
      <c r="L69" s="15"/>
      <c r="M69" s="62">
        <f t="shared" si="19"/>
        <v>0</v>
      </c>
      <c r="N69" s="183"/>
    </row>
    <row r="70" spans="1:14" x14ac:dyDescent="0.2">
      <c r="A70" s="20" t="s">
        <v>39</v>
      </c>
      <c r="B70" s="25">
        <f t="shared" ref="B70:K70" si="23">SUM(B64:B69)</f>
        <v>0</v>
      </c>
      <c r="C70" s="25">
        <f t="shared" si="23"/>
        <v>0</v>
      </c>
      <c r="D70" s="25">
        <f t="shared" si="23"/>
        <v>0</v>
      </c>
      <c r="E70" s="25">
        <f t="shared" si="23"/>
        <v>0</v>
      </c>
      <c r="F70" s="25">
        <f t="shared" si="23"/>
        <v>0</v>
      </c>
      <c r="G70" s="25">
        <f t="shared" si="23"/>
        <v>506376.47</v>
      </c>
      <c r="H70" s="25">
        <f t="shared" si="23"/>
        <v>287142.83</v>
      </c>
      <c r="I70" s="25">
        <f t="shared" si="23"/>
        <v>680293.92</v>
      </c>
      <c r="J70" s="25">
        <f t="shared" si="23"/>
        <v>461060.28</v>
      </c>
      <c r="K70" s="25">
        <f t="shared" si="23"/>
        <v>506376.47000000009</v>
      </c>
      <c r="L70" s="27"/>
      <c r="M70" s="62">
        <f t="shared" si="19"/>
        <v>0</v>
      </c>
      <c r="N70" s="183"/>
    </row>
    <row r="71" spans="1:14" x14ac:dyDescent="0.25">
      <c r="A71" s="20" t="s">
        <v>44</v>
      </c>
      <c r="B71" s="25">
        <f t="shared" ref="B71:K71" si="24">+B42+B54+B56+B59+B63+B70</f>
        <v>104936112.92999999</v>
      </c>
      <c r="C71" s="25">
        <f t="shared" si="24"/>
        <v>31581441.700000003</v>
      </c>
      <c r="D71" s="25">
        <f t="shared" si="24"/>
        <v>191349.32</v>
      </c>
      <c r="E71" s="25">
        <f t="shared" si="24"/>
        <v>27099658.960000001</v>
      </c>
      <c r="F71" s="25">
        <f t="shared" si="24"/>
        <v>5.0944584749897297</v>
      </c>
      <c r="G71" s="25">
        <f t="shared" si="24"/>
        <v>5423358.8700000001</v>
      </c>
      <c r="H71" s="25">
        <f t="shared" si="24"/>
        <v>7158928.0399999991</v>
      </c>
      <c r="I71" s="25">
        <f t="shared" si="24"/>
        <v>2947683.26</v>
      </c>
      <c r="J71" s="25">
        <f t="shared" si="24"/>
        <v>4683737.2</v>
      </c>
      <c r="K71" s="25">
        <f t="shared" si="24"/>
        <v>5422874.0999999996</v>
      </c>
      <c r="L71" s="27"/>
      <c r="N71" s="186"/>
    </row>
    <row r="72" spans="1:14" x14ac:dyDescent="0.25">
      <c r="A72" s="28"/>
      <c r="B72" s="29"/>
      <c r="C72" s="29"/>
      <c r="D72" s="29"/>
      <c r="E72" s="28"/>
      <c r="F72" s="28"/>
      <c r="G72" s="28"/>
      <c r="H72" s="28"/>
      <c r="I72" s="28"/>
      <c r="J72" s="28"/>
      <c r="K72" s="28"/>
      <c r="L72" s="30"/>
      <c r="N72" s="186"/>
    </row>
    <row r="73" spans="1:14" x14ac:dyDescent="0.25">
      <c r="A73" s="140"/>
      <c r="B73" s="19"/>
      <c r="C73" s="333" t="s">
        <v>45</v>
      </c>
      <c r="D73" s="333"/>
      <c r="E73" s="333"/>
      <c r="F73" s="333"/>
      <c r="G73" s="333"/>
      <c r="H73" s="333"/>
      <c r="I73" s="333"/>
      <c r="J73" s="19"/>
      <c r="K73" s="19"/>
      <c r="L73" s="19"/>
      <c r="N73" s="186"/>
    </row>
    <row r="74" spans="1:14" x14ac:dyDescent="0.25">
      <c r="A74" s="140"/>
      <c r="B74" s="19"/>
      <c r="C74" s="243"/>
      <c r="D74" s="243"/>
      <c r="E74" s="243"/>
      <c r="F74" s="243"/>
      <c r="G74" s="243"/>
      <c r="H74" s="243"/>
      <c r="I74" s="243"/>
      <c r="J74" s="19"/>
      <c r="K74" s="19"/>
      <c r="L74" s="19"/>
      <c r="N74" s="186"/>
    </row>
    <row r="75" spans="1:14" x14ac:dyDescent="0.25">
      <c r="A75" s="140"/>
      <c r="B75" s="325" t="s">
        <v>46</v>
      </c>
      <c r="C75" s="325"/>
      <c r="D75" s="326" t="s">
        <v>47</v>
      </c>
      <c r="E75" s="327"/>
      <c r="F75" s="328"/>
      <c r="G75" s="320" t="s">
        <v>48</v>
      </c>
      <c r="H75" s="320"/>
      <c r="I75" s="245" t="s">
        <v>10</v>
      </c>
      <c r="J75" s="19"/>
      <c r="K75" s="19"/>
      <c r="L75" s="19"/>
      <c r="N75" s="186"/>
    </row>
    <row r="76" spans="1:14" x14ac:dyDescent="0.25">
      <c r="A76" s="140"/>
      <c r="B76" s="329" t="s">
        <v>49</v>
      </c>
      <c r="C76" s="329"/>
      <c r="D76" s="330">
        <v>9000000</v>
      </c>
      <c r="E76" s="331"/>
      <c r="F76" s="332">
        <v>0</v>
      </c>
      <c r="G76" s="330">
        <v>0</v>
      </c>
      <c r="H76" s="332"/>
      <c r="I76" s="33">
        <f>G76/D76</f>
        <v>0</v>
      </c>
      <c r="J76" s="19"/>
      <c r="K76" s="19"/>
      <c r="L76" s="19"/>
      <c r="N76" s="186"/>
    </row>
    <row r="77" spans="1:14" x14ac:dyDescent="0.25">
      <c r="A77" s="140"/>
      <c r="B77" s="320"/>
      <c r="C77" s="320"/>
      <c r="D77" s="321"/>
      <c r="E77" s="322"/>
      <c r="F77" s="323"/>
      <c r="G77" s="324"/>
      <c r="H77" s="324"/>
      <c r="I77" s="246"/>
      <c r="J77" s="19"/>
      <c r="K77" s="19"/>
      <c r="L77" s="19"/>
      <c r="N77" s="186"/>
    </row>
    <row r="78" spans="1:14" x14ac:dyDescent="0.25">
      <c r="A78" s="140"/>
      <c r="B78" s="320"/>
      <c r="C78" s="320"/>
      <c r="D78" s="321"/>
      <c r="E78" s="322"/>
      <c r="F78" s="323"/>
      <c r="G78" s="324"/>
      <c r="H78" s="324"/>
      <c r="I78" s="246"/>
      <c r="J78" s="19"/>
      <c r="K78" s="19"/>
      <c r="L78" s="19"/>
      <c r="N78" s="186"/>
    </row>
    <row r="79" spans="1:14" x14ac:dyDescent="0.25">
      <c r="A79" s="140"/>
      <c r="B79" s="320"/>
      <c r="C79" s="320"/>
      <c r="D79" s="321"/>
      <c r="E79" s="322"/>
      <c r="F79" s="323"/>
      <c r="G79" s="324"/>
      <c r="H79" s="324"/>
      <c r="I79" s="246"/>
      <c r="J79" s="19"/>
      <c r="K79" s="19"/>
      <c r="L79" s="19"/>
      <c r="N79" s="186"/>
    </row>
    <row r="80" spans="1:14" x14ac:dyDescent="0.25">
      <c r="A80" s="35" t="s">
        <v>50</v>
      </c>
      <c r="B80" s="36"/>
      <c r="C80" s="36"/>
      <c r="D80" s="36"/>
      <c r="E80" s="36"/>
      <c r="F80" s="36"/>
      <c r="G80" s="37"/>
      <c r="H80" s="37"/>
      <c r="I80" s="38"/>
      <c r="J80" s="19"/>
      <c r="K80" s="19"/>
      <c r="L80" s="19"/>
      <c r="N80" s="186"/>
    </row>
    <row r="81" spans="3:14" x14ac:dyDescent="0.25">
      <c r="N81" s="186"/>
    </row>
    <row r="82" spans="3:14" x14ac:dyDescent="0.25">
      <c r="C82" s="342" t="s">
        <v>125</v>
      </c>
      <c r="D82" s="342"/>
      <c r="I82" s="342" t="s">
        <v>128</v>
      </c>
      <c r="J82" s="342"/>
      <c r="N82" s="186"/>
    </row>
    <row r="83" spans="3:14" x14ac:dyDescent="0.25">
      <c r="N83" s="186"/>
    </row>
    <row r="84" spans="3:14" x14ac:dyDescent="0.25">
      <c r="N84" s="186"/>
    </row>
    <row r="85" spans="3:14" x14ac:dyDescent="0.25">
      <c r="C85" s="342" t="s">
        <v>126</v>
      </c>
      <c r="D85" s="342"/>
      <c r="I85" s="342" t="s">
        <v>129</v>
      </c>
      <c r="J85" s="342"/>
      <c r="N85" s="186"/>
    </row>
    <row r="86" spans="3:14" x14ac:dyDescent="0.25">
      <c r="C86" s="342" t="s">
        <v>127</v>
      </c>
      <c r="D86" s="342"/>
      <c r="I86" s="342" t="s">
        <v>130</v>
      </c>
      <c r="J86" s="342"/>
      <c r="N86" s="186"/>
    </row>
    <row r="87" spans="3:14" x14ac:dyDescent="0.25">
      <c r="N87" s="186"/>
    </row>
    <row r="88" spans="3:14" x14ac:dyDescent="0.25">
      <c r="N88" s="186"/>
    </row>
    <row r="89" spans="3:14" x14ac:dyDescent="0.25">
      <c r="N89" s="186"/>
    </row>
    <row r="90" spans="3:14" x14ac:dyDescent="0.25">
      <c r="N90" s="186"/>
    </row>
    <row r="91" spans="3:14" x14ac:dyDescent="0.25">
      <c r="N91" s="186"/>
    </row>
    <row r="92" spans="3:14" x14ac:dyDescent="0.25">
      <c r="N92" s="186"/>
    </row>
    <row r="93" spans="3:14" x14ac:dyDescent="0.25">
      <c r="N93" s="186"/>
    </row>
    <row r="94" spans="3:14" x14ac:dyDescent="0.25">
      <c r="N94" s="186"/>
    </row>
    <row r="95" spans="3:14" x14ac:dyDescent="0.25">
      <c r="N95" s="186"/>
    </row>
    <row r="96" spans="3:14" x14ac:dyDescent="0.25">
      <c r="N96" s="186"/>
    </row>
    <row r="97" spans="14:14" x14ac:dyDescent="0.25">
      <c r="N97" s="186"/>
    </row>
    <row r="98" spans="14:14" x14ac:dyDescent="0.25">
      <c r="N98" s="186"/>
    </row>
    <row r="99" spans="14:14" x14ac:dyDescent="0.25">
      <c r="N99" s="186"/>
    </row>
    <row r="100" spans="14:14" x14ac:dyDescent="0.25">
      <c r="N100" s="186"/>
    </row>
    <row r="101" spans="14:14" x14ac:dyDescent="0.25">
      <c r="N101" s="186"/>
    </row>
    <row r="102" spans="14:14" x14ac:dyDescent="0.25">
      <c r="N102" s="186"/>
    </row>
    <row r="103" spans="14:14" x14ac:dyDescent="0.25">
      <c r="N103" s="186"/>
    </row>
    <row r="104" spans="14:14" x14ac:dyDescent="0.25">
      <c r="N104" s="186"/>
    </row>
    <row r="105" spans="14:14" x14ac:dyDescent="0.25">
      <c r="N105" s="186"/>
    </row>
    <row r="106" spans="14:14" x14ac:dyDescent="0.25">
      <c r="N106" s="186"/>
    </row>
    <row r="107" spans="14:14" x14ac:dyDescent="0.25">
      <c r="N107" s="186"/>
    </row>
    <row r="108" spans="14:14" x14ac:dyDescent="0.25">
      <c r="N108" s="186"/>
    </row>
    <row r="109" spans="14:14" x14ac:dyDescent="0.25">
      <c r="N109" s="186"/>
    </row>
    <row r="110" spans="14:14" x14ac:dyDescent="0.25">
      <c r="N110" s="186"/>
    </row>
    <row r="111" spans="14:14" x14ac:dyDescent="0.25">
      <c r="N111" s="186"/>
    </row>
    <row r="112" spans="14:14" x14ac:dyDescent="0.25">
      <c r="N112" s="186"/>
    </row>
    <row r="113" spans="14:14" x14ac:dyDescent="0.25">
      <c r="N113" s="186"/>
    </row>
    <row r="114" spans="14:14" x14ac:dyDescent="0.25">
      <c r="N114" s="186"/>
    </row>
    <row r="115" spans="14:14" x14ac:dyDescent="0.25">
      <c r="N115" s="186"/>
    </row>
    <row r="116" spans="14:14" x14ac:dyDescent="0.25">
      <c r="N116" s="186"/>
    </row>
    <row r="117" spans="14:14" x14ac:dyDescent="0.25">
      <c r="N117" s="186"/>
    </row>
    <row r="118" spans="14:14" x14ac:dyDescent="0.25">
      <c r="N118" s="186"/>
    </row>
    <row r="119" spans="14:14" x14ac:dyDescent="0.25">
      <c r="N119" s="186"/>
    </row>
    <row r="120" spans="14:14" x14ac:dyDescent="0.25">
      <c r="N120" s="186"/>
    </row>
    <row r="121" spans="14:14" x14ac:dyDescent="0.25">
      <c r="N121" s="186"/>
    </row>
    <row r="122" spans="14:14" x14ac:dyDescent="0.25">
      <c r="N122" s="186"/>
    </row>
    <row r="123" spans="14:14" x14ac:dyDescent="0.25">
      <c r="N123" s="186"/>
    </row>
    <row r="124" spans="14:14" x14ac:dyDescent="0.25">
      <c r="N124" s="186"/>
    </row>
    <row r="125" spans="14:14" x14ac:dyDescent="0.25">
      <c r="N125" s="186"/>
    </row>
    <row r="126" spans="14:14" x14ac:dyDescent="0.25">
      <c r="N126" s="186"/>
    </row>
    <row r="127" spans="14:14" x14ac:dyDescent="0.25">
      <c r="N127" s="186"/>
    </row>
    <row r="128" spans="14:14" x14ac:dyDescent="0.25">
      <c r="N128" s="186"/>
    </row>
    <row r="129" spans="14:14" x14ac:dyDescent="0.25">
      <c r="N129" s="186"/>
    </row>
    <row r="130" spans="14:14" x14ac:dyDescent="0.25">
      <c r="N130" s="186"/>
    </row>
    <row r="131" spans="14:14" x14ac:dyDescent="0.25">
      <c r="N131" s="186"/>
    </row>
    <row r="132" spans="14:14" x14ac:dyDescent="0.25">
      <c r="N132" s="186"/>
    </row>
    <row r="133" spans="14:14" x14ac:dyDescent="0.25">
      <c r="N133" s="186"/>
    </row>
    <row r="134" spans="14:14" x14ac:dyDescent="0.25">
      <c r="N134" s="186"/>
    </row>
    <row r="135" spans="14:14" x14ac:dyDescent="0.25">
      <c r="N135" s="186"/>
    </row>
    <row r="136" spans="14:14" x14ac:dyDescent="0.25">
      <c r="N136" s="186"/>
    </row>
    <row r="137" spans="14:14" x14ac:dyDescent="0.25">
      <c r="N137" s="186"/>
    </row>
    <row r="138" spans="14:14" x14ac:dyDescent="0.25">
      <c r="N138" s="186"/>
    </row>
    <row r="139" spans="14:14" x14ac:dyDescent="0.25">
      <c r="N139" s="186"/>
    </row>
    <row r="140" spans="14:14" x14ac:dyDescent="0.25">
      <c r="N140" s="186"/>
    </row>
    <row r="141" spans="14:14" x14ac:dyDescent="0.25">
      <c r="N141" s="186"/>
    </row>
    <row r="142" spans="14:14" x14ac:dyDescent="0.25">
      <c r="N142" s="186"/>
    </row>
    <row r="143" spans="14:14" x14ac:dyDescent="0.25">
      <c r="N143" s="186"/>
    </row>
    <row r="144" spans="14:14" x14ac:dyDescent="0.25">
      <c r="N144" s="186"/>
    </row>
    <row r="145" spans="14:14" x14ac:dyDescent="0.25">
      <c r="N145" s="186"/>
    </row>
    <row r="146" spans="14:14" x14ac:dyDescent="0.25">
      <c r="N146" s="186"/>
    </row>
    <row r="147" spans="14:14" x14ac:dyDescent="0.25">
      <c r="N147" s="186"/>
    </row>
    <row r="148" spans="14:14" x14ac:dyDescent="0.25">
      <c r="N148" s="186"/>
    </row>
    <row r="149" spans="14:14" x14ac:dyDescent="0.25">
      <c r="N149" s="186"/>
    </row>
    <row r="150" spans="14:14" x14ac:dyDescent="0.25">
      <c r="N150" s="186"/>
    </row>
    <row r="151" spans="14:14" x14ac:dyDescent="0.25">
      <c r="N151" s="186"/>
    </row>
    <row r="152" spans="14:14" x14ac:dyDescent="0.25">
      <c r="N152" s="186"/>
    </row>
    <row r="153" spans="14:14" x14ac:dyDescent="0.25">
      <c r="N153" s="186"/>
    </row>
    <row r="154" spans="14:14" x14ac:dyDescent="0.25">
      <c r="N154" s="186"/>
    </row>
    <row r="155" spans="14:14" x14ac:dyDescent="0.25">
      <c r="N155" s="186"/>
    </row>
    <row r="156" spans="14:14" x14ac:dyDescent="0.25">
      <c r="N156" s="186"/>
    </row>
    <row r="157" spans="14:14" x14ac:dyDescent="0.25">
      <c r="N157" s="186"/>
    </row>
    <row r="158" spans="14:14" x14ac:dyDescent="0.25">
      <c r="N158" s="186"/>
    </row>
    <row r="159" spans="14:14" x14ac:dyDescent="0.25">
      <c r="N159" s="186"/>
    </row>
    <row r="160" spans="14:14" x14ac:dyDescent="0.25">
      <c r="N160" s="186"/>
    </row>
    <row r="161" spans="14:14" x14ac:dyDescent="0.25">
      <c r="N161" s="186"/>
    </row>
    <row r="162" spans="14:14" x14ac:dyDescent="0.25">
      <c r="N162" s="186"/>
    </row>
    <row r="163" spans="14:14" x14ac:dyDescent="0.25">
      <c r="N163" s="186"/>
    </row>
    <row r="164" spans="14:14" x14ac:dyDescent="0.25">
      <c r="N164" s="186"/>
    </row>
    <row r="165" spans="14:14" x14ac:dyDescent="0.25">
      <c r="N165" s="186"/>
    </row>
    <row r="166" spans="14:14" x14ac:dyDescent="0.25">
      <c r="N166" s="186"/>
    </row>
    <row r="167" spans="14:14" x14ac:dyDescent="0.25">
      <c r="N167" s="186"/>
    </row>
    <row r="168" spans="14:14" x14ac:dyDescent="0.25">
      <c r="N168" s="186"/>
    </row>
    <row r="169" spans="14:14" x14ac:dyDescent="0.25">
      <c r="N169" s="186"/>
    </row>
    <row r="170" spans="14:14" x14ac:dyDescent="0.25">
      <c r="N170" s="186"/>
    </row>
    <row r="171" spans="14:14" x14ac:dyDescent="0.25">
      <c r="N171" s="186"/>
    </row>
    <row r="172" spans="14:14" x14ac:dyDescent="0.25">
      <c r="N172" s="186"/>
    </row>
    <row r="173" spans="14:14" x14ac:dyDescent="0.25">
      <c r="N173" s="186"/>
    </row>
    <row r="174" spans="14:14" x14ac:dyDescent="0.25">
      <c r="N174" s="186"/>
    </row>
    <row r="175" spans="14:14" x14ac:dyDescent="0.25">
      <c r="N175" s="186"/>
    </row>
    <row r="176" spans="14:14" x14ac:dyDescent="0.25">
      <c r="N176" s="186"/>
    </row>
    <row r="177" spans="14:14" x14ac:dyDescent="0.25">
      <c r="N177" s="186"/>
    </row>
    <row r="178" spans="14:14" x14ac:dyDescent="0.25">
      <c r="N178" s="186"/>
    </row>
    <row r="179" spans="14:14" x14ac:dyDescent="0.25">
      <c r="N179" s="186"/>
    </row>
    <row r="180" spans="14:14" x14ac:dyDescent="0.25">
      <c r="N180" s="186"/>
    </row>
    <row r="181" spans="14:14" x14ac:dyDescent="0.25">
      <c r="N181" s="186"/>
    </row>
    <row r="182" spans="14:14" x14ac:dyDescent="0.25">
      <c r="N182" s="186"/>
    </row>
    <row r="183" spans="14:14" x14ac:dyDescent="0.25">
      <c r="N183" s="186"/>
    </row>
    <row r="184" spans="14:14" x14ac:dyDescent="0.25">
      <c r="N184" s="186"/>
    </row>
    <row r="185" spans="14:14" x14ac:dyDescent="0.25">
      <c r="N185" s="186"/>
    </row>
    <row r="186" spans="14:14" x14ac:dyDescent="0.25">
      <c r="N186" s="186"/>
    </row>
    <row r="187" spans="14:14" x14ac:dyDescent="0.25">
      <c r="N187" s="186"/>
    </row>
    <row r="188" spans="14:14" x14ac:dyDescent="0.25">
      <c r="N188" s="186"/>
    </row>
    <row r="189" spans="14:14" x14ac:dyDescent="0.25">
      <c r="N189" s="186"/>
    </row>
    <row r="190" spans="14:14" x14ac:dyDescent="0.25">
      <c r="N190" s="186"/>
    </row>
    <row r="191" spans="14:14" x14ac:dyDescent="0.25">
      <c r="N191" s="186"/>
    </row>
    <row r="192" spans="14:14" x14ac:dyDescent="0.25">
      <c r="N192" s="186"/>
    </row>
    <row r="193" spans="14:14" x14ac:dyDescent="0.25">
      <c r="N193" s="186"/>
    </row>
    <row r="194" spans="14:14" x14ac:dyDescent="0.25">
      <c r="N194" s="186"/>
    </row>
    <row r="195" spans="14:14" x14ac:dyDescent="0.25">
      <c r="N195" s="186"/>
    </row>
    <row r="196" spans="14:14" x14ac:dyDescent="0.25">
      <c r="N196" s="186"/>
    </row>
    <row r="197" spans="14:14" x14ac:dyDescent="0.25">
      <c r="N197" s="186"/>
    </row>
    <row r="198" spans="14:14" x14ac:dyDescent="0.25">
      <c r="N198" s="186"/>
    </row>
    <row r="199" spans="14:14" x14ac:dyDescent="0.25">
      <c r="N199" s="186"/>
    </row>
    <row r="200" spans="14:14" x14ac:dyDescent="0.25">
      <c r="N200" s="186"/>
    </row>
    <row r="201" spans="14:14" x14ac:dyDescent="0.25">
      <c r="N201" s="186"/>
    </row>
    <row r="202" spans="14:14" x14ac:dyDescent="0.25">
      <c r="N202" s="186"/>
    </row>
    <row r="203" spans="14:14" x14ac:dyDescent="0.25">
      <c r="N203" s="186"/>
    </row>
    <row r="204" spans="14:14" x14ac:dyDescent="0.25">
      <c r="N204" s="186"/>
    </row>
    <row r="205" spans="14:14" x14ac:dyDescent="0.25">
      <c r="N205" s="186"/>
    </row>
    <row r="206" spans="14:14" x14ac:dyDescent="0.25">
      <c r="N206" s="186"/>
    </row>
    <row r="207" spans="14:14" x14ac:dyDescent="0.25">
      <c r="N207" s="186"/>
    </row>
    <row r="208" spans="14:14" x14ac:dyDescent="0.25">
      <c r="N208" s="186"/>
    </row>
    <row r="209" spans="14:14" x14ac:dyDescent="0.25">
      <c r="N209" s="186"/>
    </row>
    <row r="210" spans="14:14" x14ac:dyDescent="0.25">
      <c r="N210" s="186"/>
    </row>
    <row r="211" spans="14:14" x14ac:dyDescent="0.25">
      <c r="N211" s="186"/>
    </row>
    <row r="212" spans="14:14" x14ac:dyDescent="0.25">
      <c r="N212" s="186"/>
    </row>
    <row r="213" spans="14:14" x14ac:dyDescent="0.25">
      <c r="N213" s="186"/>
    </row>
    <row r="214" spans="14:14" x14ac:dyDescent="0.25">
      <c r="N214" s="186"/>
    </row>
    <row r="215" spans="14:14" x14ac:dyDescent="0.25">
      <c r="N215" s="186"/>
    </row>
    <row r="216" spans="14:14" x14ac:dyDescent="0.25">
      <c r="N216" s="186"/>
    </row>
    <row r="217" spans="14:14" x14ac:dyDescent="0.25">
      <c r="N217" s="186"/>
    </row>
    <row r="218" spans="14:14" x14ac:dyDescent="0.25">
      <c r="N218" s="186"/>
    </row>
    <row r="219" spans="14:14" x14ac:dyDescent="0.25">
      <c r="N219" s="186"/>
    </row>
    <row r="220" spans="14:14" x14ac:dyDescent="0.25">
      <c r="N220" s="186"/>
    </row>
    <row r="221" spans="14:14" x14ac:dyDescent="0.25">
      <c r="N221" s="186"/>
    </row>
    <row r="222" spans="14:14" x14ac:dyDescent="0.25">
      <c r="N222" s="186"/>
    </row>
    <row r="223" spans="14:14" x14ac:dyDescent="0.25">
      <c r="N223" s="186"/>
    </row>
    <row r="224" spans="14:14" x14ac:dyDescent="0.25">
      <c r="N224" s="186"/>
    </row>
    <row r="225" spans="14:14" x14ac:dyDescent="0.25">
      <c r="N225" s="186"/>
    </row>
    <row r="226" spans="14:14" x14ac:dyDescent="0.25">
      <c r="N226" s="186"/>
    </row>
    <row r="227" spans="14:14" x14ac:dyDescent="0.25">
      <c r="N227" s="186"/>
    </row>
    <row r="228" spans="14:14" x14ac:dyDescent="0.25">
      <c r="N228" s="186"/>
    </row>
    <row r="229" spans="14:14" x14ac:dyDescent="0.25">
      <c r="N229" s="186"/>
    </row>
    <row r="230" spans="14:14" x14ac:dyDescent="0.25">
      <c r="N230" s="186"/>
    </row>
    <row r="231" spans="14:14" x14ac:dyDescent="0.25">
      <c r="N231" s="186"/>
    </row>
    <row r="232" spans="14:14" x14ac:dyDescent="0.25">
      <c r="N232" s="186"/>
    </row>
    <row r="233" spans="14:14" x14ac:dyDescent="0.25">
      <c r="N233" s="186"/>
    </row>
    <row r="234" spans="14:14" x14ac:dyDescent="0.25">
      <c r="N234" s="186"/>
    </row>
    <row r="235" spans="14:14" x14ac:dyDescent="0.25">
      <c r="N235" s="186"/>
    </row>
    <row r="236" spans="14:14" x14ac:dyDescent="0.25">
      <c r="N236" s="186"/>
    </row>
    <row r="237" spans="14:14" x14ac:dyDescent="0.25">
      <c r="N237" s="186"/>
    </row>
    <row r="238" spans="14:14" x14ac:dyDescent="0.25">
      <c r="N238" s="186"/>
    </row>
    <row r="239" spans="14:14" x14ac:dyDescent="0.25">
      <c r="N239" s="186"/>
    </row>
    <row r="240" spans="14:14" x14ac:dyDescent="0.25">
      <c r="N240" s="186"/>
    </row>
    <row r="241" spans="14:14" x14ac:dyDescent="0.25">
      <c r="N241" s="186"/>
    </row>
    <row r="242" spans="14:14" x14ac:dyDescent="0.25">
      <c r="N242" s="186"/>
    </row>
    <row r="243" spans="14:14" x14ac:dyDescent="0.25">
      <c r="N243" s="186"/>
    </row>
    <row r="244" spans="14:14" x14ac:dyDescent="0.25">
      <c r="N244" s="186"/>
    </row>
    <row r="245" spans="14:14" x14ac:dyDescent="0.25">
      <c r="N245" s="186"/>
    </row>
    <row r="246" spans="14:14" x14ac:dyDescent="0.25">
      <c r="N246" s="186"/>
    </row>
    <row r="247" spans="14:14" x14ac:dyDescent="0.25">
      <c r="N247" s="186"/>
    </row>
    <row r="248" spans="14:14" x14ac:dyDescent="0.25">
      <c r="N248" s="186"/>
    </row>
    <row r="249" spans="14:14" x14ac:dyDescent="0.25">
      <c r="N249" s="186"/>
    </row>
    <row r="250" spans="14:14" x14ac:dyDescent="0.25">
      <c r="N250" s="186"/>
    </row>
    <row r="251" spans="14:14" x14ac:dyDescent="0.25">
      <c r="N251" s="186"/>
    </row>
    <row r="252" spans="14:14" x14ac:dyDescent="0.25">
      <c r="N252" s="186"/>
    </row>
    <row r="253" spans="14:14" x14ac:dyDescent="0.25">
      <c r="N253" s="186"/>
    </row>
    <row r="254" spans="14:14" x14ac:dyDescent="0.25">
      <c r="N254" s="186"/>
    </row>
    <row r="255" spans="14:14" x14ac:dyDescent="0.25">
      <c r="N255" s="186"/>
    </row>
    <row r="256" spans="14:14" x14ac:dyDescent="0.25">
      <c r="N256" s="186"/>
    </row>
    <row r="257" spans="14:14" x14ac:dyDescent="0.25">
      <c r="N257" s="186"/>
    </row>
    <row r="258" spans="14:14" x14ac:dyDescent="0.25">
      <c r="N258" s="186"/>
    </row>
    <row r="259" spans="14:14" x14ac:dyDescent="0.25">
      <c r="N259" s="186"/>
    </row>
    <row r="260" spans="14:14" x14ac:dyDescent="0.25">
      <c r="N260" s="186"/>
    </row>
    <row r="261" spans="14:14" x14ac:dyDescent="0.25">
      <c r="N261" s="186"/>
    </row>
    <row r="262" spans="14:14" x14ac:dyDescent="0.25">
      <c r="N262" s="186"/>
    </row>
    <row r="263" spans="14:14" x14ac:dyDescent="0.25">
      <c r="N263" s="186"/>
    </row>
    <row r="264" spans="14:14" x14ac:dyDescent="0.25">
      <c r="N264" s="186"/>
    </row>
    <row r="265" spans="14:14" x14ac:dyDescent="0.25">
      <c r="N265" s="186"/>
    </row>
    <row r="266" spans="14:14" x14ac:dyDescent="0.25">
      <c r="N266" s="186"/>
    </row>
    <row r="267" spans="14:14" x14ac:dyDescent="0.25">
      <c r="N267" s="186"/>
    </row>
    <row r="268" spans="14:14" x14ac:dyDescent="0.25">
      <c r="N268" s="186"/>
    </row>
    <row r="269" spans="14:14" x14ac:dyDescent="0.25">
      <c r="N269" s="186"/>
    </row>
    <row r="270" spans="14:14" x14ac:dyDescent="0.25">
      <c r="N270" s="186"/>
    </row>
    <row r="271" spans="14:14" x14ac:dyDescent="0.25">
      <c r="N271" s="186"/>
    </row>
    <row r="272" spans="14:14" x14ac:dyDescent="0.25">
      <c r="N272" s="186"/>
    </row>
    <row r="273" spans="14:14" x14ac:dyDescent="0.25">
      <c r="N273" s="186"/>
    </row>
    <row r="274" spans="14:14" x14ac:dyDescent="0.25">
      <c r="N274" s="186"/>
    </row>
    <row r="275" spans="14:14" x14ac:dyDescent="0.25">
      <c r="N275" s="186"/>
    </row>
    <row r="276" spans="14:14" x14ac:dyDescent="0.25">
      <c r="N276" s="186"/>
    </row>
    <row r="277" spans="14:14" x14ac:dyDescent="0.25">
      <c r="N277" s="186"/>
    </row>
    <row r="278" spans="14:14" x14ac:dyDescent="0.25">
      <c r="N278" s="186"/>
    </row>
    <row r="279" spans="14:14" x14ac:dyDescent="0.25">
      <c r="N279" s="186"/>
    </row>
    <row r="280" spans="14:14" x14ac:dyDescent="0.25">
      <c r="N280" s="186"/>
    </row>
    <row r="281" spans="14:14" x14ac:dyDescent="0.25">
      <c r="N281" s="186"/>
    </row>
    <row r="282" spans="14:14" x14ac:dyDescent="0.25">
      <c r="N282" s="186"/>
    </row>
    <row r="283" spans="14:14" x14ac:dyDescent="0.25">
      <c r="N283" s="186"/>
    </row>
    <row r="284" spans="14:14" x14ac:dyDescent="0.25">
      <c r="N284" s="186"/>
    </row>
    <row r="285" spans="14:14" x14ac:dyDescent="0.25">
      <c r="N285" s="186"/>
    </row>
  </sheetData>
  <mergeCells count="39">
    <mergeCell ref="B78:C78"/>
    <mergeCell ref="D78:F78"/>
    <mergeCell ref="G78:H78"/>
    <mergeCell ref="C86:D86"/>
    <mergeCell ref="I86:J86"/>
    <mergeCell ref="B79:C79"/>
    <mergeCell ref="D79:F79"/>
    <mergeCell ref="G79:H79"/>
    <mergeCell ref="C82:D82"/>
    <mergeCell ref="I82:J82"/>
    <mergeCell ref="C85:D85"/>
    <mergeCell ref="I85:J85"/>
    <mergeCell ref="B76:C76"/>
    <mergeCell ref="D76:F76"/>
    <mergeCell ref="G76:H76"/>
    <mergeCell ref="B77:C77"/>
    <mergeCell ref="D77:F77"/>
    <mergeCell ref="G77:H77"/>
    <mergeCell ref="J9:J10"/>
    <mergeCell ref="K9:K10"/>
    <mergeCell ref="B75:C75"/>
    <mergeCell ref="D75:F75"/>
    <mergeCell ref="G75:H75"/>
    <mergeCell ref="C73:I73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A1:L1"/>
    <mergeCell ref="A3:L3"/>
    <mergeCell ref="A6:L6"/>
    <mergeCell ref="A7:L7"/>
    <mergeCell ref="C8:G8"/>
    <mergeCell ref="H8:K8"/>
  </mergeCells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100"/>
  <sheetViews>
    <sheetView zoomScale="120" zoomScaleNormal="12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24.28515625" style="165" customWidth="1"/>
    <col min="14" max="14" width="16.5703125" style="186" customWidth="1"/>
    <col min="15" max="16" width="16.5703125" style="141"/>
    <col min="17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6" x14ac:dyDescent="0.25">
      <c r="A1" s="334" t="s">
        <v>146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6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334" t="s">
        <v>147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6" x14ac:dyDescent="0.25">
      <c r="A4" s="3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6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</row>
    <row r="6" spans="1:16" x14ac:dyDescent="0.25">
      <c r="A6" s="334" t="s">
        <v>146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6" x14ac:dyDescent="0.25">
      <c r="A7" s="334" t="s">
        <v>145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6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</row>
    <row r="9" spans="1:16" s="17" customForma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166"/>
      <c r="N9" s="187"/>
      <c r="O9" s="142"/>
      <c r="P9" s="142"/>
    </row>
    <row r="10" spans="1:16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O10" s="151"/>
    </row>
    <row r="11" spans="1:16" s="17" customFormat="1" x14ac:dyDescent="0.25">
      <c r="A11" s="139" t="s">
        <v>18</v>
      </c>
      <c r="B11" s="14">
        <v>12913787.119999999</v>
      </c>
      <c r="C11" s="201">
        <f>2410248.5+142521.42</f>
        <v>2552769.92</v>
      </c>
      <c r="D11" s="11">
        <v>0</v>
      </c>
      <c r="E11" s="201">
        <v>385800.89</v>
      </c>
      <c r="F11" s="14">
        <f>+E11/C11</f>
        <v>0.15113030241283948</v>
      </c>
      <c r="G11" s="251">
        <f>+C11+D11-E11</f>
        <v>2166969.0299999998</v>
      </c>
      <c r="H11" s="11">
        <f>39600+2116406.03+5000</f>
        <v>2161006.0299999998</v>
      </c>
      <c r="I11" s="14">
        <f>55000+23497</f>
        <v>78497</v>
      </c>
      <c r="J11" s="14">
        <f>4420+68114</f>
        <v>72534</v>
      </c>
      <c r="K11" s="14">
        <f>H11+I11-J11</f>
        <v>2166969.0299999998</v>
      </c>
      <c r="L11" s="15">
        <f>+F11</f>
        <v>0.15113030241283948</v>
      </c>
      <c r="M11" s="62">
        <f t="shared" ref="M11:M23" si="0">+K11-G11</f>
        <v>0</v>
      </c>
      <c r="N11" s="114"/>
      <c r="O11" s="153"/>
      <c r="P11" s="142"/>
    </row>
    <row r="12" spans="1:16" x14ac:dyDescent="0.2">
      <c r="A12" s="139" t="s">
        <v>20</v>
      </c>
      <c r="B12" s="14">
        <v>30330208</v>
      </c>
      <c r="C12" s="261">
        <v>2073516.22</v>
      </c>
      <c r="D12" s="11">
        <v>0</v>
      </c>
      <c r="E12" s="201">
        <v>1123177</v>
      </c>
      <c r="F12" s="14">
        <f t="shared" ref="F12:F17" si="1">+E12/C12</f>
        <v>0.54167746032871644</v>
      </c>
      <c r="G12" s="251">
        <f t="shared" ref="G12:G23" si="2">+C12+D12-E12</f>
        <v>950339.22</v>
      </c>
      <c r="H12" s="11">
        <f>40000+1493596.22</f>
        <v>1533596.22</v>
      </c>
      <c r="I12" s="14">
        <v>-1000</v>
      </c>
      <c r="J12" s="14">
        <f>128250+454007</f>
        <v>582257</v>
      </c>
      <c r="K12" s="14">
        <f t="shared" ref="K12:K21" si="3">H12+I12-J12</f>
        <v>950339.22</v>
      </c>
      <c r="L12" s="15">
        <f t="shared" ref="L12:L23" si="4">+F12</f>
        <v>0.54167746032871644</v>
      </c>
      <c r="M12" s="62">
        <f t="shared" si="0"/>
        <v>0</v>
      </c>
      <c r="N12" s="189"/>
      <c r="O12" s="151"/>
    </row>
    <row r="13" spans="1:16" x14ac:dyDescent="0.2">
      <c r="A13" s="139" t="s">
        <v>21</v>
      </c>
      <c r="B13" s="14">
        <v>281207</v>
      </c>
      <c r="C13" s="261">
        <v>33190.910000000003</v>
      </c>
      <c r="D13" s="11">
        <v>0</v>
      </c>
      <c r="E13" s="261">
        <v>0</v>
      </c>
      <c r="F13" s="14">
        <f t="shared" si="1"/>
        <v>0</v>
      </c>
      <c r="G13" s="251">
        <f t="shared" si="2"/>
        <v>33190.910000000003</v>
      </c>
      <c r="H13" s="11">
        <v>38190.910000000003</v>
      </c>
      <c r="I13" s="14">
        <v>0</v>
      </c>
      <c r="J13" s="14">
        <v>5000</v>
      </c>
      <c r="K13" s="14">
        <f t="shared" si="3"/>
        <v>33190.910000000003</v>
      </c>
      <c r="L13" s="15">
        <f t="shared" si="4"/>
        <v>0</v>
      </c>
      <c r="M13" s="62">
        <f t="shared" si="0"/>
        <v>0</v>
      </c>
      <c r="N13" s="116"/>
    </row>
    <row r="14" spans="1:16" x14ac:dyDescent="0.2">
      <c r="A14" s="139" t="s">
        <v>22</v>
      </c>
      <c r="B14" s="14">
        <v>573761</v>
      </c>
      <c r="C14" s="261">
        <v>42411.46</v>
      </c>
      <c r="D14" s="11">
        <v>0</v>
      </c>
      <c r="E14" s="261">
        <v>0</v>
      </c>
      <c r="F14" s="14">
        <f t="shared" si="1"/>
        <v>0</v>
      </c>
      <c r="G14" s="251">
        <f t="shared" si="2"/>
        <v>42411.46</v>
      </c>
      <c r="H14" s="11">
        <v>47411.46</v>
      </c>
      <c r="I14" s="14">
        <v>0</v>
      </c>
      <c r="J14" s="14">
        <v>5000</v>
      </c>
      <c r="K14" s="14">
        <f t="shared" si="3"/>
        <v>42411.46</v>
      </c>
      <c r="L14" s="15">
        <f t="shared" si="4"/>
        <v>0</v>
      </c>
      <c r="M14" s="62">
        <f t="shared" si="0"/>
        <v>0</v>
      </c>
      <c r="N14" s="116"/>
    </row>
    <row r="15" spans="1:16" x14ac:dyDescent="0.2">
      <c r="A15" s="139" t="s">
        <v>23</v>
      </c>
      <c r="B15" s="14">
        <v>1398350</v>
      </c>
      <c r="C15" s="261">
        <v>90415.25</v>
      </c>
      <c r="D15" s="11">
        <v>0</v>
      </c>
      <c r="E15" s="261">
        <v>0</v>
      </c>
      <c r="F15" s="14">
        <f t="shared" si="1"/>
        <v>0</v>
      </c>
      <c r="G15" s="251">
        <f t="shared" si="2"/>
        <v>90415.25</v>
      </c>
      <c r="H15" s="11">
        <v>95415.25</v>
      </c>
      <c r="I15" s="14">
        <v>0</v>
      </c>
      <c r="J15" s="14">
        <v>5000</v>
      </c>
      <c r="K15" s="14">
        <f t="shared" si="3"/>
        <v>90415.25</v>
      </c>
      <c r="L15" s="15">
        <f t="shared" si="4"/>
        <v>0</v>
      </c>
      <c r="M15" s="62">
        <f t="shared" si="0"/>
        <v>0</v>
      </c>
      <c r="N15" s="190"/>
    </row>
    <row r="16" spans="1:16" x14ac:dyDescent="0.2">
      <c r="A16" s="139" t="s">
        <v>24</v>
      </c>
      <c r="B16" s="14">
        <v>14692367</v>
      </c>
      <c r="C16" s="261">
        <v>1232554.75</v>
      </c>
      <c r="D16" s="11">
        <v>0</v>
      </c>
      <c r="E16" s="201">
        <v>956036</v>
      </c>
      <c r="F16" s="14">
        <f t="shared" si="1"/>
        <v>0.77565398210505454</v>
      </c>
      <c r="G16" s="251">
        <f t="shared" si="2"/>
        <v>276518.75</v>
      </c>
      <c r="H16" s="11">
        <v>807548.75</v>
      </c>
      <c r="I16" s="14">
        <v>0</v>
      </c>
      <c r="J16" s="14">
        <f>61927+469103</f>
        <v>531030</v>
      </c>
      <c r="K16" s="14">
        <f t="shared" si="3"/>
        <v>276518.75</v>
      </c>
      <c r="L16" s="15">
        <f t="shared" si="4"/>
        <v>0.77565398210505454</v>
      </c>
      <c r="M16" s="62">
        <f t="shared" si="0"/>
        <v>0</v>
      </c>
      <c r="N16" s="190"/>
      <c r="O16" s="151"/>
    </row>
    <row r="17" spans="1:18" x14ac:dyDescent="0.2">
      <c r="A17" s="139" t="s">
        <v>25</v>
      </c>
      <c r="B17" s="14">
        <v>1397810.64</v>
      </c>
      <c r="C17" s="261">
        <v>50909.53</v>
      </c>
      <c r="D17" s="11">
        <v>0</v>
      </c>
      <c r="E17" s="201">
        <v>0</v>
      </c>
      <c r="F17" s="14">
        <f t="shared" si="1"/>
        <v>0</v>
      </c>
      <c r="G17" s="251">
        <f t="shared" si="2"/>
        <v>50909.53</v>
      </c>
      <c r="H17" s="11">
        <v>55909.53</v>
      </c>
      <c r="I17" s="14">
        <v>0</v>
      </c>
      <c r="J17" s="14">
        <v>5000</v>
      </c>
      <c r="K17" s="14">
        <f t="shared" si="3"/>
        <v>50909.53</v>
      </c>
      <c r="L17" s="15">
        <f t="shared" si="4"/>
        <v>0</v>
      </c>
      <c r="M17" s="107">
        <f t="shared" si="0"/>
        <v>0</v>
      </c>
      <c r="N17" s="190"/>
    </row>
    <row r="18" spans="1:18" x14ac:dyDescent="0.2">
      <c r="A18" s="139" t="s">
        <v>53</v>
      </c>
      <c r="B18" s="14">
        <v>887363.87</v>
      </c>
      <c r="C18" s="261">
        <v>0</v>
      </c>
      <c r="D18" s="11">
        <v>0</v>
      </c>
      <c r="E18" s="261">
        <v>0</v>
      </c>
      <c r="F18" s="14">
        <v>0</v>
      </c>
      <c r="G18" s="251">
        <f t="shared" si="2"/>
        <v>0</v>
      </c>
      <c r="H18" s="11">
        <v>5000</v>
      </c>
      <c r="I18" s="14">
        <v>0</v>
      </c>
      <c r="J18" s="14">
        <v>5000</v>
      </c>
      <c r="K18" s="14">
        <f t="shared" si="3"/>
        <v>0</v>
      </c>
      <c r="L18" s="15">
        <f t="shared" si="4"/>
        <v>0</v>
      </c>
      <c r="M18" s="107">
        <f t="shared" si="0"/>
        <v>0</v>
      </c>
      <c r="N18" s="190"/>
    </row>
    <row r="19" spans="1:18" x14ac:dyDescent="0.2">
      <c r="A19" s="139" t="s">
        <v>27</v>
      </c>
      <c r="B19" s="14">
        <f>+C19</f>
        <v>0</v>
      </c>
      <c r="C19" s="261">
        <v>0</v>
      </c>
      <c r="D19" s="11">
        <v>0</v>
      </c>
      <c r="E19" s="261">
        <v>0</v>
      </c>
      <c r="F19" s="14">
        <v>0</v>
      </c>
      <c r="G19" s="251">
        <f t="shared" si="2"/>
        <v>0</v>
      </c>
      <c r="H19" s="11">
        <v>0</v>
      </c>
      <c r="I19" s="14">
        <v>0</v>
      </c>
      <c r="J19" s="14">
        <v>0</v>
      </c>
      <c r="K19" s="14">
        <f t="shared" si="3"/>
        <v>0</v>
      </c>
      <c r="L19" s="15">
        <f t="shared" si="4"/>
        <v>0</v>
      </c>
      <c r="M19" s="107">
        <f t="shared" si="0"/>
        <v>0</v>
      </c>
      <c r="N19" s="190"/>
    </row>
    <row r="20" spans="1:18" x14ac:dyDescent="0.2">
      <c r="A20" s="139" t="s">
        <v>28</v>
      </c>
      <c r="B20" s="14">
        <v>55010.61</v>
      </c>
      <c r="C20" s="261">
        <v>4496.84</v>
      </c>
      <c r="D20" s="11">
        <v>0</v>
      </c>
      <c r="E20" s="261">
        <v>0</v>
      </c>
      <c r="F20" s="14">
        <v>0</v>
      </c>
      <c r="G20" s="251">
        <f t="shared" si="2"/>
        <v>4496.84</v>
      </c>
      <c r="H20" s="11">
        <v>9496.84</v>
      </c>
      <c r="I20" s="14">
        <v>0</v>
      </c>
      <c r="J20" s="14">
        <v>5000</v>
      </c>
      <c r="K20" s="14">
        <f t="shared" si="3"/>
        <v>4496.84</v>
      </c>
      <c r="L20" s="15">
        <f t="shared" si="4"/>
        <v>0</v>
      </c>
      <c r="M20" s="107">
        <f t="shared" si="0"/>
        <v>0</v>
      </c>
      <c r="N20" s="152"/>
    </row>
    <row r="21" spans="1:18" ht="27" x14ac:dyDescent="0.2">
      <c r="A21" s="139" t="s">
        <v>136</v>
      </c>
      <c r="B21" s="14">
        <v>0</v>
      </c>
      <c r="C21" s="261">
        <v>0</v>
      </c>
      <c r="D21" s="11">
        <v>0</v>
      </c>
      <c r="E21" s="261">
        <v>0</v>
      </c>
      <c r="F21" s="14"/>
      <c r="G21" s="251">
        <f t="shared" si="2"/>
        <v>0</v>
      </c>
      <c r="H21" s="11">
        <v>5000</v>
      </c>
      <c r="I21" s="14">
        <v>0</v>
      </c>
      <c r="J21" s="14">
        <v>5000</v>
      </c>
      <c r="K21" s="14">
        <f t="shared" si="3"/>
        <v>0</v>
      </c>
      <c r="L21" s="15">
        <f t="shared" si="4"/>
        <v>0</v>
      </c>
      <c r="M21" s="107">
        <f t="shared" si="0"/>
        <v>0</v>
      </c>
      <c r="N21" s="152"/>
    </row>
    <row r="22" spans="1:18" x14ac:dyDescent="0.2">
      <c r="A22" s="139" t="s">
        <v>29</v>
      </c>
      <c r="B22" s="14">
        <v>29358059</v>
      </c>
      <c r="C22" s="261">
        <v>3255506.9</v>
      </c>
      <c r="D22" s="11">
        <v>0</v>
      </c>
      <c r="E22" s="261">
        <v>0</v>
      </c>
      <c r="F22" s="14">
        <f>+E22/C22</f>
        <v>0</v>
      </c>
      <c r="G22" s="251">
        <f t="shared" si="2"/>
        <v>3255506.9</v>
      </c>
      <c r="H22" s="11">
        <v>3260506.9</v>
      </c>
      <c r="I22" s="14">
        <v>0</v>
      </c>
      <c r="J22" s="14">
        <v>5000</v>
      </c>
      <c r="K22" s="14">
        <f>H22+I22-J22</f>
        <v>3255506.9</v>
      </c>
      <c r="L22" s="15">
        <f t="shared" si="4"/>
        <v>0</v>
      </c>
      <c r="M22" s="107">
        <f t="shared" si="0"/>
        <v>0</v>
      </c>
      <c r="N22" s="152"/>
    </row>
    <row r="23" spans="1:18" x14ac:dyDescent="0.2">
      <c r="A23" s="139" t="s">
        <v>30</v>
      </c>
      <c r="B23" s="14">
        <v>22883119</v>
      </c>
      <c r="C23" s="261">
        <v>2179918.92</v>
      </c>
      <c r="D23" s="11">
        <v>0</v>
      </c>
      <c r="E23" s="201">
        <v>1317993</v>
      </c>
      <c r="F23" s="14">
        <f>+E23/C23</f>
        <v>0.6046064318759159</v>
      </c>
      <c r="G23" s="251">
        <f t="shared" si="2"/>
        <v>861925.91999999993</v>
      </c>
      <c r="H23" s="11">
        <v>1373175.92</v>
      </c>
      <c r="I23" s="14">
        <v>0</v>
      </c>
      <c r="J23" s="14">
        <f>19472+491778</f>
        <v>511250</v>
      </c>
      <c r="K23" s="14">
        <f>H23+I23-J23</f>
        <v>861925.91999999993</v>
      </c>
      <c r="L23" s="15">
        <f t="shared" si="4"/>
        <v>0.6046064318759159</v>
      </c>
      <c r="M23" s="107">
        <f t="shared" si="0"/>
        <v>0</v>
      </c>
      <c r="N23" s="157"/>
      <c r="Q23" s="141"/>
      <c r="R23" s="144"/>
    </row>
    <row r="24" spans="1:18" s="5" customFormat="1" x14ac:dyDescent="0.2">
      <c r="A24" s="248" t="s">
        <v>144</v>
      </c>
      <c r="B24" s="21">
        <f t="shared" ref="B24:K24" si="5">SUM(B11:B23)</f>
        <v>114771043.23999999</v>
      </c>
      <c r="C24" s="21">
        <f t="shared" si="5"/>
        <v>11515690.699999999</v>
      </c>
      <c r="D24" s="21">
        <f t="shared" si="5"/>
        <v>0</v>
      </c>
      <c r="E24" s="21">
        <f t="shared" si="5"/>
        <v>3783006.89</v>
      </c>
      <c r="F24" s="249">
        <f t="shared" si="5"/>
        <v>2.0730681767225265</v>
      </c>
      <c r="G24" s="249">
        <f t="shared" si="5"/>
        <v>7732683.8099999996</v>
      </c>
      <c r="H24" s="249">
        <f t="shared" si="5"/>
        <v>9392257.8100000005</v>
      </c>
      <c r="I24" s="249">
        <f t="shared" si="5"/>
        <v>77497</v>
      </c>
      <c r="J24" s="249">
        <f t="shared" si="5"/>
        <v>1737071</v>
      </c>
      <c r="K24" s="249">
        <f t="shared" si="5"/>
        <v>7732683.8099999996</v>
      </c>
      <c r="L24" s="252"/>
      <c r="M24" s="118">
        <f>SUM(M11:M23)</f>
        <v>0</v>
      </c>
      <c r="N24" s="204"/>
      <c r="O24" s="143"/>
      <c r="P24" s="143"/>
    </row>
    <row r="25" spans="1:18" s="17" customFormat="1" x14ac:dyDescent="0.25">
      <c r="A25" s="139" t="s">
        <v>18</v>
      </c>
      <c r="B25" s="14">
        <f>10999097.88+238908.65</f>
        <v>11238006.530000001</v>
      </c>
      <c r="C25" s="14">
        <f>10999097.88+238908.65</f>
        <v>11238006.530000001</v>
      </c>
      <c r="D25" s="11">
        <v>0</v>
      </c>
      <c r="E25" s="14">
        <v>11056143.380000001</v>
      </c>
      <c r="F25" s="14">
        <f>+E25/C25</f>
        <v>0.98381713433654672</v>
      </c>
      <c r="G25" s="251">
        <f>+C25+D25-E25</f>
        <v>181863.15000000037</v>
      </c>
      <c r="H25" s="11">
        <f>178606.93+5000</f>
        <v>183606.93</v>
      </c>
      <c r="I25" s="14">
        <f>127254.42+10000</f>
        <v>137254.41999999998</v>
      </c>
      <c r="J25" s="14">
        <f>21634+117364.2</f>
        <v>138998.20000000001</v>
      </c>
      <c r="K25" s="14">
        <f>H25+I25-J25</f>
        <v>181863.14999999997</v>
      </c>
      <c r="L25" s="15">
        <f>+F25</f>
        <v>0.98381713433654672</v>
      </c>
      <c r="M25" s="62">
        <f t="shared" ref="M25:M40" si="6">+K25-G25</f>
        <v>-4.0745362639427185E-10</v>
      </c>
      <c r="N25" s="114"/>
      <c r="O25" s="153"/>
      <c r="P25" s="142"/>
    </row>
    <row r="26" spans="1:18" x14ac:dyDescent="0.2">
      <c r="A26" s="139" t="s">
        <v>20</v>
      </c>
      <c r="B26" s="11">
        <v>32201284.170000002</v>
      </c>
      <c r="C26" s="11">
        <v>32201284.170000002</v>
      </c>
      <c r="D26" s="11">
        <v>0</v>
      </c>
      <c r="E26" s="14">
        <v>32201284.170000002</v>
      </c>
      <c r="F26" s="14">
        <f t="shared" ref="F26:F31" si="7">+E26/C26</f>
        <v>1</v>
      </c>
      <c r="G26" s="251">
        <f t="shared" ref="G26:G40" si="8">+C26+D26-E26</f>
        <v>0</v>
      </c>
      <c r="H26" s="11">
        <f>0+1626333.07</f>
        <v>1626333.07</v>
      </c>
      <c r="I26" s="14">
        <f>50868+4200</f>
        <v>55068</v>
      </c>
      <c r="J26" s="14">
        <f>1441899+62764+176738.07</f>
        <v>1681401.07</v>
      </c>
      <c r="K26" s="14">
        <f t="shared" ref="K26:K35" si="9">H26+I26-J26</f>
        <v>0</v>
      </c>
      <c r="L26" s="15">
        <f t="shared" ref="L26:L37" si="10">+F26</f>
        <v>1</v>
      </c>
      <c r="M26" s="250">
        <f t="shared" si="6"/>
        <v>0</v>
      </c>
      <c r="N26" s="189"/>
      <c r="O26" s="151"/>
    </row>
    <row r="27" spans="1:18" x14ac:dyDescent="0.2">
      <c r="A27" s="139" t="s">
        <v>21</v>
      </c>
      <c r="B27" s="11">
        <v>375916.69</v>
      </c>
      <c r="C27" s="11">
        <v>375916.69</v>
      </c>
      <c r="D27" s="11">
        <v>0</v>
      </c>
      <c r="E27" s="11">
        <v>364122.38</v>
      </c>
      <c r="F27" s="14">
        <f t="shared" si="7"/>
        <v>0.9686252025681541</v>
      </c>
      <c r="G27" s="251">
        <f t="shared" si="8"/>
        <v>11794.309999999998</v>
      </c>
      <c r="H27" s="11">
        <v>11794.31</v>
      </c>
      <c r="I27" s="14">
        <v>0</v>
      </c>
      <c r="J27" s="14">
        <v>0</v>
      </c>
      <c r="K27" s="14">
        <f t="shared" si="9"/>
        <v>11794.31</v>
      </c>
      <c r="L27" s="15">
        <f t="shared" si="10"/>
        <v>0.9686252025681541</v>
      </c>
      <c r="M27" s="236">
        <f t="shared" si="6"/>
        <v>0</v>
      </c>
      <c r="N27" s="116"/>
    </row>
    <row r="28" spans="1:18" x14ac:dyDescent="0.2">
      <c r="A28" s="139" t="s">
        <v>22</v>
      </c>
      <c r="B28" s="11">
        <v>553292.86</v>
      </c>
      <c r="C28" s="11">
        <v>553292.86</v>
      </c>
      <c r="D28" s="11">
        <v>0</v>
      </c>
      <c r="E28" s="11">
        <v>549193.92000000004</v>
      </c>
      <c r="F28" s="14">
        <f t="shared" si="7"/>
        <v>0.99259173523403155</v>
      </c>
      <c r="G28" s="251">
        <f t="shared" si="8"/>
        <v>4098.9399999999441</v>
      </c>
      <c r="H28" s="11">
        <v>4098.9399999999996</v>
      </c>
      <c r="I28" s="14">
        <v>0</v>
      </c>
      <c r="J28" s="14">
        <v>0</v>
      </c>
      <c r="K28" s="14">
        <f t="shared" si="9"/>
        <v>4098.9399999999996</v>
      </c>
      <c r="L28" s="15">
        <f t="shared" si="10"/>
        <v>0.99259173523403155</v>
      </c>
      <c r="M28" s="236">
        <f t="shared" si="6"/>
        <v>5.5479176808148623E-11</v>
      </c>
      <c r="N28" s="116"/>
    </row>
    <row r="29" spans="1:18" x14ac:dyDescent="0.2">
      <c r="A29" s="139" t="s">
        <v>23</v>
      </c>
      <c r="B29" s="11">
        <v>1287364.3999999999</v>
      </c>
      <c r="C29" s="11">
        <v>1287364.3999999999</v>
      </c>
      <c r="D29" s="11">
        <v>0</v>
      </c>
      <c r="E29" s="11">
        <v>1286941.03</v>
      </c>
      <c r="F29" s="14">
        <f t="shared" si="7"/>
        <v>0.99967113429577525</v>
      </c>
      <c r="G29" s="251">
        <f t="shared" si="8"/>
        <v>423.36999999987893</v>
      </c>
      <c r="H29" s="11">
        <v>423.37</v>
      </c>
      <c r="I29" s="14">
        <v>0</v>
      </c>
      <c r="J29" s="14">
        <v>0</v>
      </c>
      <c r="K29" s="14">
        <f t="shared" si="9"/>
        <v>423.37</v>
      </c>
      <c r="L29" s="15">
        <f t="shared" si="10"/>
        <v>0.99967113429577525</v>
      </c>
      <c r="M29" s="236">
        <f t="shared" si="6"/>
        <v>1.2107648217352107E-10</v>
      </c>
      <c r="N29" s="190"/>
    </row>
    <row r="30" spans="1:18" x14ac:dyDescent="0.2">
      <c r="A30" s="139" t="s">
        <v>24</v>
      </c>
      <c r="B30" s="11">
        <v>15340178.58</v>
      </c>
      <c r="C30" s="11">
        <v>15340178.58</v>
      </c>
      <c r="D30" s="11">
        <v>0</v>
      </c>
      <c r="E30" s="14">
        <f>15320249.52</f>
        <v>15320249.52</v>
      </c>
      <c r="F30" s="14">
        <f t="shared" si="7"/>
        <v>0.99870085867018632</v>
      </c>
      <c r="G30" s="251">
        <f t="shared" si="8"/>
        <v>19929.060000000522</v>
      </c>
      <c r="H30" s="11">
        <v>501651.06</v>
      </c>
      <c r="I30" s="14">
        <v>0</v>
      </c>
      <c r="J30" s="14">
        <f>419314+2000+60408</f>
        <v>481722</v>
      </c>
      <c r="K30" s="14">
        <f t="shared" si="9"/>
        <v>19929.059999999998</v>
      </c>
      <c r="L30" s="15">
        <f t="shared" si="10"/>
        <v>0.99870085867018632</v>
      </c>
      <c r="M30" s="62">
        <f t="shared" si="6"/>
        <v>-5.2386894822120667E-10</v>
      </c>
      <c r="N30" s="190"/>
      <c r="O30" s="151"/>
    </row>
    <row r="31" spans="1:18" x14ac:dyDescent="0.2">
      <c r="A31" s="139" t="s">
        <v>25</v>
      </c>
      <c r="B31" s="11">
        <v>1461552.81</v>
      </c>
      <c r="C31" s="11">
        <v>1461552.81</v>
      </c>
      <c r="D31" s="11">
        <v>0</v>
      </c>
      <c r="E31" s="14">
        <v>1315379.46</v>
      </c>
      <c r="F31" s="14">
        <f t="shared" si="7"/>
        <v>0.89998763712137086</v>
      </c>
      <c r="G31" s="251">
        <f t="shared" si="8"/>
        <v>146173.35000000009</v>
      </c>
      <c r="H31" s="11">
        <v>146173.35</v>
      </c>
      <c r="I31" s="14">
        <v>0</v>
      </c>
      <c r="J31" s="14">
        <v>0</v>
      </c>
      <c r="K31" s="14">
        <f t="shared" si="9"/>
        <v>146173.35</v>
      </c>
      <c r="L31" s="15">
        <f t="shared" si="10"/>
        <v>0.89998763712137086</v>
      </c>
      <c r="M31" s="236">
        <f t="shared" si="6"/>
        <v>0</v>
      </c>
      <c r="N31" s="190"/>
    </row>
    <row r="32" spans="1:18" x14ac:dyDescent="0.2">
      <c r="A32" s="139" t="s">
        <v>53</v>
      </c>
      <c r="B32" s="11">
        <v>888239.11</v>
      </c>
      <c r="C32" s="11">
        <v>888239.11</v>
      </c>
      <c r="D32" s="11">
        <v>0</v>
      </c>
      <c r="E32" s="11">
        <v>651043.92000000004</v>
      </c>
      <c r="F32" s="14">
        <v>0</v>
      </c>
      <c r="G32" s="251">
        <f t="shared" si="8"/>
        <v>237195.18999999994</v>
      </c>
      <c r="H32" s="11">
        <v>237195.19</v>
      </c>
      <c r="I32" s="14">
        <v>0</v>
      </c>
      <c r="J32" s="14">
        <v>0</v>
      </c>
      <c r="K32" s="14">
        <f t="shared" si="9"/>
        <v>237195.19</v>
      </c>
      <c r="L32" s="15">
        <f t="shared" si="10"/>
        <v>0</v>
      </c>
      <c r="M32" s="236">
        <f t="shared" si="6"/>
        <v>0</v>
      </c>
      <c r="N32" s="190"/>
    </row>
    <row r="33" spans="1:18" x14ac:dyDescent="0.2">
      <c r="A33" s="139" t="s">
        <v>27</v>
      </c>
      <c r="B33" s="11">
        <v>0</v>
      </c>
      <c r="C33" s="11">
        <v>0</v>
      </c>
      <c r="D33" s="11">
        <v>0</v>
      </c>
      <c r="E33" s="11">
        <v>0</v>
      </c>
      <c r="F33" s="14">
        <v>0</v>
      </c>
      <c r="G33" s="251">
        <f t="shared" si="8"/>
        <v>0</v>
      </c>
      <c r="H33" s="11">
        <v>0</v>
      </c>
      <c r="I33" s="14">
        <v>0</v>
      </c>
      <c r="J33" s="14">
        <v>0</v>
      </c>
      <c r="K33" s="14">
        <f t="shared" si="9"/>
        <v>0</v>
      </c>
      <c r="L33" s="15">
        <f t="shared" si="10"/>
        <v>0</v>
      </c>
      <c r="M33" s="236">
        <f t="shared" si="6"/>
        <v>0</v>
      </c>
      <c r="N33" s="190"/>
    </row>
    <row r="34" spans="1:18" x14ac:dyDescent="0.2">
      <c r="A34" s="139" t="s">
        <v>28</v>
      </c>
      <c r="B34" s="11">
        <v>60034.41</v>
      </c>
      <c r="C34" s="11">
        <v>60034.41</v>
      </c>
      <c r="D34" s="11">
        <v>0</v>
      </c>
      <c r="E34" s="11">
        <v>36692.129999999997</v>
      </c>
      <c r="F34" s="14">
        <v>0</v>
      </c>
      <c r="G34" s="251">
        <f t="shared" si="8"/>
        <v>23342.280000000006</v>
      </c>
      <c r="H34" s="11">
        <v>23342.28</v>
      </c>
      <c r="I34" s="14">
        <v>0</v>
      </c>
      <c r="J34" s="14">
        <v>0</v>
      </c>
      <c r="K34" s="14">
        <f t="shared" si="9"/>
        <v>23342.28</v>
      </c>
      <c r="L34" s="15">
        <f t="shared" si="10"/>
        <v>0</v>
      </c>
      <c r="M34" s="236">
        <f t="shared" si="6"/>
        <v>0</v>
      </c>
      <c r="N34" s="152"/>
    </row>
    <row r="35" spans="1:18" ht="27" x14ac:dyDescent="0.2">
      <c r="A35" s="139" t="s">
        <v>136</v>
      </c>
      <c r="B35" s="11">
        <v>2201262.25</v>
      </c>
      <c r="C35" s="11">
        <v>2201262.25</v>
      </c>
      <c r="D35" s="11">
        <v>818.27</v>
      </c>
      <c r="E35" s="11">
        <v>2193712.5099999998</v>
      </c>
      <c r="F35" s="14"/>
      <c r="G35" s="251">
        <f t="shared" si="8"/>
        <v>8368.0100000002421</v>
      </c>
      <c r="H35" s="11">
        <v>8368.01</v>
      </c>
      <c r="I35" s="14">
        <v>0</v>
      </c>
      <c r="J35" s="14">
        <v>0</v>
      </c>
      <c r="K35" s="14">
        <f t="shared" si="9"/>
        <v>8368.01</v>
      </c>
      <c r="L35" s="15">
        <f t="shared" si="10"/>
        <v>0</v>
      </c>
      <c r="M35" s="236">
        <f t="shared" si="6"/>
        <v>-2.4192559067159891E-10</v>
      </c>
      <c r="N35" s="152"/>
    </row>
    <row r="36" spans="1:18" x14ac:dyDescent="0.2">
      <c r="A36" s="139" t="s">
        <v>29</v>
      </c>
      <c r="B36" s="11">
        <v>29358891.780000001</v>
      </c>
      <c r="C36" s="11">
        <v>29358891.780000001</v>
      </c>
      <c r="D36" s="11">
        <v>644200.78</v>
      </c>
      <c r="E36" s="11">
        <v>29358059.32</v>
      </c>
      <c r="F36" s="14">
        <f>+E36/C36</f>
        <v>0.99997164538749495</v>
      </c>
      <c r="G36" s="251">
        <f t="shared" si="8"/>
        <v>645033.24000000209</v>
      </c>
      <c r="H36" s="11">
        <f>27044389.8+0</f>
        <v>27044389.800000001</v>
      </c>
      <c r="I36" s="14">
        <v>2958702.76</v>
      </c>
      <c r="J36" s="14">
        <v>29358059.32</v>
      </c>
      <c r="K36" s="14">
        <f>H36+I36-J36</f>
        <v>645033.24000000209</v>
      </c>
      <c r="L36" s="15">
        <f t="shared" si="10"/>
        <v>0.99997164538749495</v>
      </c>
      <c r="M36" s="236">
        <f t="shared" si="6"/>
        <v>0</v>
      </c>
      <c r="N36" s="152"/>
    </row>
    <row r="37" spans="1:18" x14ac:dyDescent="0.2">
      <c r="A37" s="139" t="s">
        <v>30</v>
      </c>
      <c r="B37" s="11">
        <v>23067538.390000001</v>
      </c>
      <c r="C37" s="11">
        <v>23067538.390000001</v>
      </c>
      <c r="D37" s="11">
        <v>0</v>
      </c>
      <c r="E37" s="14">
        <f>23067538.39-13458.57</f>
        <v>23054079.82</v>
      </c>
      <c r="F37" s="14">
        <f>+E37/C37</f>
        <v>0.99941655803179086</v>
      </c>
      <c r="G37" s="251">
        <f t="shared" si="8"/>
        <v>13458.570000000298</v>
      </c>
      <c r="H37" s="11">
        <v>374090.59</v>
      </c>
      <c r="I37" s="14">
        <f>713.4+45970</f>
        <v>46683.4</v>
      </c>
      <c r="J37" s="14">
        <f>275061+132254.42</f>
        <v>407315.42000000004</v>
      </c>
      <c r="K37" s="14">
        <f>H37+I37-J37</f>
        <v>13458.570000000007</v>
      </c>
      <c r="L37" s="15">
        <f t="shared" si="10"/>
        <v>0.99941655803179086</v>
      </c>
      <c r="M37" s="107">
        <f t="shared" si="6"/>
        <v>-2.9103830456733704E-10</v>
      </c>
      <c r="N37" s="157" t="s">
        <v>52</v>
      </c>
      <c r="Q37" s="141"/>
      <c r="R37" s="144"/>
    </row>
    <row r="38" spans="1:18" x14ac:dyDescent="0.2">
      <c r="A38" s="139" t="s">
        <v>57</v>
      </c>
      <c r="B38" s="11">
        <v>1483495.05</v>
      </c>
      <c r="C38" s="11">
        <v>1483495.05</v>
      </c>
      <c r="D38" s="11">
        <v>4256.42</v>
      </c>
      <c r="E38" s="14">
        <v>1461506.21</v>
      </c>
      <c r="F38" s="14">
        <f>+E38/C38</f>
        <v>0.98517767888743535</v>
      </c>
      <c r="G38" s="251">
        <f t="shared" si="8"/>
        <v>26245.260000000009</v>
      </c>
      <c r="H38" s="11">
        <v>26245.26</v>
      </c>
      <c r="I38" s="14">
        <v>0</v>
      </c>
      <c r="J38" s="14">
        <v>0</v>
      </c>
      <c r="K38" s="14">
        <f>H38+I38-J38</f>
        <v>26245.26</v>
      </c>
      <c r="L38" s="15">
        <f>+F38</f>
        <v>0.98517767888743535</v>
      </c>
      <c r="M38" s="107">
        <f t="shared" si="6"/>
        <v>0</v>
      </c>
      <c r="N38" s="157"/>
      <c r="Q38" s="141"/>
      <c r="R38" s="144"/>
    </row>
    <row r="39" spans="1:18" x14ac:dyDescent="0.2">
      <c r="A39" s="139" t="s">
        <v>139</v>
      </c>
      <c r="B39" s="14">
        <v>1364024.1</v>
      </c>
      <c r="C39" s="14">
        <v>1364024.1</v>
      </c>
      <c r="D39" s="11">
        <f>940.83+935.1+658.75</f>
        <v>2534.6800000000003</v>
      </c>
      <c r="E39" s="14">
        <v>1364018.1</v>
      </c>
      <c r="F39" s="14">
        <f>+E39/C39</f>
        <v>0.99999560125074038</v>
      </c>
      <c r="G39" s="251">
        <f t="shared" si="8"/>
        <v>2540.6799999999348</v>
      </c>
      <c r="H39" s="11">
        <v>957353.35</v>
      </c>
      <c r="I39" s="14">
        <v>409205.43</v>
      </c>
      <c r="J39" s="14">
        <v>1364018.1</v>
      </c>
      <c r="K39" s="14">
        <f>H39+I39-J39</f>
        <v>2540.6799999999348</v>
      </c>
      <c r="L39" s="15">
        <f>+F39</f>
        <v>0.99999560125074038</v>
      </c>
      <c r="M39" s="107">
        <f t="shared" si="6"/>
        <v>0</v>
      </c>
      <c r="N39" s="157"/>
      <c r="Q39" s="141"/>
      <c r="R39" s="144"/>
    </row>
    <row r="40" spans="1:18" ht="40.5" x14ac:dyDescent="0.2">
      <c r="A40" s="139" t="s">
        <v>135</v>
      </c>
      <c r="B40" s="11">
        <v>199999.99</v>
      </c>
      <c r="C40" s="11">
        <v>199999.99</v>
      </c>
      <c r="D40" s="11">
        <f>113.52+264.05+123.8+26.23</f>
        <v>527.6</v>
      </c>
      <c r="E40" s="14">
        <v>199730.99</v>
      </c>
      <c r="F40" s="14">
        <f>+E40/C40</f>
        <v>0.99865499993274998</v>
      </c>
      <c r="G40" s="251">
        <f t="shared" si="8"/>
        <v>796.60000000000582</v>
      </c>
      <c r="H40" s="11">
        <v>683.08</v>
      </c>
      <c r="I40" s="14">
        <f>180000+5000</f>
        <v>185000</v>
      </c>
      <c r="J40" s="14">
        <f>102106.79+5000+77779.69</f>
        <v>184886.47999999998</v>
      </c>
      <c r="K40" s="14">
        <f>H40+I40-J40</f>
        <v>796.60000000000582</v>
      </c>
      <c r="L40" s="15">
        <f>+F40</f>
        <v>0.99865499993274998</v>
      </c>
      <c r="M40" s="107">
        <f t="shared" si="6"/>
        <v>0</v>
      </c>
      <c r="N40" s="157"/>
      <c r="Q40" s="141"/>
      <c r="R40" s="144"/>
    </row>
    <row r="41" spans="1:18" s="5" customFormat="1" x14ac:dyDescent="0.2">
      <c r="A41" s="248" t="s">
        <v>60</v>
      </c>
      <c r="B41" s="21">
        <f t="shared" ref="B41:K41" si="11">SUM(B25:B40)</f>
        <v>121081081.11999999</v>
      </c>
      <c r="C41" s="21">
        <f t="shared" si="11"/>
        <v>121081081.11999999</v>
      </c>
      <c r="D41" s="21">
        <f t="shared" si="11"/>
        <v>652337.75000000012</v>
      </c>
      <c r="E41" s="21">
        <f t="shared" si="11"/>
        <v>120412156.85999998</v>
      </c>
      <c r="F41" s="249">
        <f t="shared" si="11"/>
        <v>11.826610185716277</v>
      </c>
      <c r="G41" s="249">
        <f t="shared" si="11"/>
        <v>1321262.0100000035</v>
      </c>
      <c r="H41" s="249">
        <f t="shared" si="11"/>
        <v>31145748.590000004</v>
      </c>
      <c r="I41" s="249">
        <f t="shared" si="11"/>
        <v>3791914.01</v>
      </c>
      <c r="J41" s="249">
        <f t="shared" si="11"/>
        <v>33616400.590000004</v>
      </c>
      <c r="K41" s="249">
        <f t="shared" si="11"/>
        <v>1321262.0100000021</v>
      </c>
      <c r="L41" s="252"/>
      <c r="M41" s="118">
        <f>SUM(M25:M40)</f>
        <v>-1.2877308108727448E-9</v>
      </c>
      <c r="N41" s="203"/>
      <c r="O41" s="143"/>
      <c r="P41" s="143"/>
    </row>
    <row r="42" spans="1:18" s="17" customFormat="1" x14ac:dyDescent="0.25">
      <c r="A42" s="139" t="s">
        <v>18</v>
      </c>
      <c r="B42" s="10">
        <v>9668787.5</v>
      </c>
      <c r="C42" s="10">
        <f>+B42-8808992.11</f>
        <v>859795.3900000006</v>
      </c>
      <c r="D42" s="11">
        <v>0</v>
      </c>
      <c r="E42" s="10">
        <v>126202.22</v>
      </c>
      <c r="F42" s="12">
        <f>+E42/C42</f>
        <v>0.14678168953662327</v>
      </c>
      <c r="G42" s="109">
        <f t="shared" ref="G42:G55" si="12">+C42+D42-E42</f>
        <v>733593.17000000062</v>
      </c>
      <c r="H42" s="11">
        <v>760336.44</v>
      </c>
      <c r="I42" s="14">
        <f>35750.7+49054.32+10000+17400</f>
        <v>112205.01999999999</v>
      </c>
      <c r="J42" s="14">
        <f>42293+3275.91+3277.52+90101.86</f>
        <v>138948.29</v>
      </c>
      <c r="K42" s="14">
        <f>H42+I42-J42</f>
        <v>733593.16999999993</v>
      </c>
      <c r="L42" s="15">
        <f>+F42</f>
        <v>0.14678168953662327</v>
      </c>
      <c r="M42" s="62">
        <f t="shared" ref="M42:M55" si="13">+K42-G42</f>
        <v>0</v>
      </c>
      <c r="N42" s="271"/>
      <c r="O42" s="153"/>
      <c r="P42" s="142"/>
    </row>
    <row r="43" spans="1:18" x14ac:dyDescent="0.2">
      <c r="A43" s="262" t="s">
        <v>20</v>
      </c>
      <c r="B43" s="109">
        <v>27138333.23</v>
      </c>
      <c r="C43" s="109">
        <v>27138333.23</v>
      </c>
      <c r="D43" s="261">
        <v>0</v>
      </c>
      <c r="E43" s="109">
        <f>26415966.23+831927-8117.68</f>
        <v>27239775.550000001</v>
      </c>
      <c r="F43" s="263">
        <f t="shared" ref="F43:F48" si="14">+E43/C43</f>
        <v>1.003737971641083</v>
      </c>
      <c r="G43" s="109">
        <f t="shared" si="12"/>
        <v>-101442.3200000003</v>
      </c>
      <c r="H43" s="264">
        <v>391978.01</v>
      </c>
      <c r="I43" s="201">
        <v>37944</v>
      </c>
      <c r="J43" s="201">
        <f>326678+16708.93+21550.06+166427.34</f>
        <v>531364.32999999996</v>
      </c>
      <c r="K43" s="201">
        <f t="shared" ref="K43:K50" si="15">H43+I43-J43</f>
        <v>-101442.31999999995</v>
      </c>
      <c r="L43" s="265">
        <f t="shared" ref="L43:L55" si="16">+F43</f>
        <v>1.003737971641083</v>
      </c>
      <c r="M43" s="62">
        <f t="shared" si="13"/>
        <v>3.4924596548080444E-10</v>
      </c>
      <c r="N43" s="272"/>
      <c r="O43" s="151"/>
    </row>
    <row r="44" spans="1:18" x14ac:dyDescent="0.2">
      <c r="A44" s="139" t="s">
        <v>21</v>
      </c>
      <c r="B44" s="10">
        <v>321506.03999999998</v>
      </c>
      <c r="C44" s="10">
        <f>+B44-280892.37</f>
        <v>40613.669999999984</v>
      </c>
      <c r="D44" s="11">
        <v>0</v>
      </c>
      <c r="E44" s="11">
        <v>40613.67</v>
      </c>
      <c r="F44" s="12">
        <f t="shared" si="14"/>
        <v>1.0000000000000004</v>
      </c>
      <c r="G44" s="109">
        <f t="shared" si="12"/>
        <v>0</v>
      </c>
      <c r="H44" s="13">
        <v>0</v>
      </c>
      <c r="I44" s="14">
        <v>0</v>
      </c>
      <c r="J44" s="14">
        <v>0</v>
      </c>
      <c r="K44" s="14">
        <f t="shared" si="15"/>
        <v>0</v>
      </c>
      <c r="L44" s="15">
        <f t="shared" si="16"/>
        <v>1.0000000000000004</v>
      </c>
      <c r="M44" s="62">
        <f t="shared" si="13"/>
        <v>0</v>
      </c>
    </row>
    <row r="45" spans="1:18" x14ac:dyDescent="0.2">
      <c r="A45" s="139" t="s">
        <v>22</v>
      </c>
      <c r="B45" s="10">
        <v>570803.89</v>
      </c>
      <c r="C45" s="10">
        <f>+B45-491970.23</f>
        <v>78833.660000000033</v>
      </c>
      <c r="D45" s="11">
        <v>0</v>
      </c>
      <c r="E45" s="11">
        <v>78833.66</v>
      </c>
      <c r="F45" s="12">
        <f t="shared" si="14"/>
        <v>0.99999999999999967</v>
      </c>
      <c r="G45" s="109">
        <f t="shared" si="12"/>
        <v>0</v>
      </c>
      <c r="H45" s="13">
        <v>0</v>
      </c>
      <c r="I45" s="14">
        <v>0</v>
      </c>
      <c r="J45" s="14">
        <v>0</v>
      </c>
      <c r="K45" s="14">
        <f t="shared" si="15"/>
        <v>0</v>
      </c>
      <c r="L45" s="15">
        <f t="shared" si="16"/>
        <v>0.99999999999999967</v>
      </c>
      <c r="M45" s="62">
        <f t="shared" si="13"/>
        <v>0</v>
      </c>
    </row>
    <row r="46" spans="1:18" x14ac:dyDescent="0.2">
      <c r="A46" s="139" t="s">
        <v>23</v>
      </c>
      <c r="B46" s="10">
        <v>1307693.44</v>
      </c>
      <c r="C46" s="10">
        <f>+B46-1273287.15</f>
        <v>34406.290000000037</v>
      </c>
      <c r="D46" s="11">
        <v>0</v>
      </c>
      <c r="E46" s="11">
        <v>34406.29</v>
      </c>
      <c r="F46" s="12">
        <f t="shared" si="14"/>
        <v>0.99999999999999889</v>
      </c>
      <c r="G46" s="109">
        <f t="shared" si="12"/>
        <v>0</v>
      </c>
      <c r="H46" s="13">
        <v>0</v>
      </c>
      <c r="I46" s="14">
        <v>0</v>
      </c>
      <c r="J46" s="14">
        <v>0</v>
      </c>
      <c r="K46" s="14">
        <f t="shared" si="15"/>
        <v>0</v>
      </c>
      <c r="L46" s="15">
        <f t="shared" si="16"/>
        <v>0.99999999999999889</v>
      </c>
      <c r="M46" s="62">
        <f t="shared" si="13"/>
        <v>0</v>
      </c>
    </row>
    <row r="47" spans="1:18" x14ac:dyDescent="0.2">
      <c r="A47" s="139" t="s">
        <v>24</v>
      </c>
      <c r="B47" s="10">
        <v>14234360.859999999</v>
      </c>
      <c r="C47" s="10">
        <f>+B47-14197791.76</f>
        <v>36569.099999999627</v>
      </c>
      <c r="D47" s="11">
        <v>0</v>
      </c>
      <c r="E47" s="10">
        <v>208.8</v>
      </c>
      <c r="F47" s="12">
        <f t="shared" si="14"/>
        <v>5.7097385497592813E-3</v>
      </c>
      <c r="G47" s="109">
        <f t="shared" si="12"/>
        <v>36360.299999999625</v>
      </c>
      <c r="H47" s="13">
        <v>-340080.7</v>
      </c>
      <c r="I47" s="14">
        <v>782752</v>
      </c>
      <c r="J47" s="14">
        <f>280823+125488</f>
        <v>406311</v>
      </c>
      <c r="K47" s="14">
        <f t="shared" si="15"/>
        <v>36360.299999999988</v>
      </c>
      <c r="L47" s="15">
        <f t="shared" si="16"/>
        <v>5.7097385497592813E-3</v>
      </c>
      <c r="M47" s="62">
        <f t="shared" si="13"/>
        <v>3.637978807091713E-10</v>
      </c>
      <c r="O47" s="151"/>
    </row>
    <row r="48" spans="1:18" x14ac:dyDescent="0.2">
      <c r="A48" s="139" t="s">
        <v>25</v>
      </c>
      <c r="B48" s="10">
        <v>658261.61</v>
      </c>
      <c r="C48" s="10">
        <f>+B48-367499.68</f>
        <v>290761.93</v>
      </c>
      <c r="D48" s="11">
        <v>0</v>
      </c>
      <c r="E48" s="10">
        <v>281389.86</v>
      </c>
      <c r="F48" s="12">
        <f t="shared" si="14"/>
        <v>0.96776720391146109</v>
      </c>
      <c r="G48" s="109">
        <f t="shared" si="12"/>
        <v>9372.070000000007</v>
      </c>
      <c r="H48" s="13">
        <v>56340.94</v>
      </c>
      <c r="I48" s="14">
        <v>0</v>
      </c>
      <c r="J48" s="14">
        <v>46968.87</v>
      </c>
      <c r="K48" s="14">
        <f t="shared" si="15"/>
        <v>9372.07</v>
      </c>
      <c r="L48" s="15">
        <f t="shared" si="16"/>
        <v>0.96776720391146109</v>
      </c>
      <c r="M48" s="62">
        <f t="shared" si="13"/>
        <v>0</v>
      </c>
    </row>
    <row r="49" spans="1:18" x14ac:dyDescent="0.2">
      <c r="A49" s="139" t="s">
        <v>53</v>
      </c>
      <c r="B49" s="10">
        <v>158979.12</v>
      </c>
      <c r="C49" s="10">
        <f>+B49</f>
        <v>158979.12</v>
      </c>
      <c r="D49" s="11">
        <v>0</v>
      </c>
      <c r="E49" s="11">
        <v>120000</v>
      </c>
      <c r="F49" s="12">
        <v>0</v>
      </c>
      <c r="G49" s="201">
        <f t="shared" si="12"/>
        <v>38979.119999999995</v>
      </c>
      <c r="H49" s="11">
        <v>43979.12</v>
      </c>
      <c r="I49" s="14">
        <v>0</v>
      </c>
      <c r="J49" s="14">
        <v>5000</v>
      </c>
      <c r="K49" s="14">
        <f t="shared" si="15"/>
        <v>38979.120000000003</v>
      </c>
      <c r="L49" s="15">
        <f t="shared" si="16"/>
        <v>0</v>
      </c>
      <c r="M49" s="62">
        <f t="shared" si="13"/>
        <v>0</v>
      </c>
    </row>
    <row r="50" spans="1:18" x14ac:dyDescent="0.2">
      <c r="A50" s="139" t="s">
        <v>28</v>
      </c>
      <c r="B50" s="10">
        <v>47798.07</v>
      </c>
      <c r="C50" s="10">
        <f>+B50-23516.14</f>
        <v>24281.93</v>
      </c>
      <c r="D50" s="11">
        <v>0</v>
      </c>
      <c r="E50" s="11">
        <v>0</v>
      </c>
      <c r="F50" s="12">
        <v>0</v>
      </c>
      <c r="G50" s="201">
        <f t="shared" si="12"/>
        <v>24281.93</v>
      </c>
      <c r="H50" s="11">
        <v>24281.93</v>
      </c>
      <c r="I50" s="14">
        <v>0</v>
      </c>
      <c r="J50" s="14">
        <v>0</v>
      </c>
      <c r="K50" s="14">
        <f t="shared" si="15"/>
        <v>24281.93</v>
      </c>
      <c r="L50" s="15">
        <f t="shared" si="16"/>
        <v>0</v>
      </c>
      <c r="M50" s="62">
        <f t="shared" si="13"/>
        <v>0</v>
      </c>
      <c r="N50" s="270"/>
    </row>
    <row r="51" spans="1:18" x14ac:dyDescent="0.2">
      <c r="A51" s="139" t="s">
        <v>29</v>
      </c>
      <c r="B51" s="10">
        <v>27972730</v>
      </c>
      <c r="C51" s="10">
        <f>+B51-27809818.06</f>
        <v>162911.94000000134</v>
      </c>
      <c r="D51" s="11">
        <v>186451.15</v>
      </c>
      <c r="E51" s="11">
        <v>0</v>
      </c>
      <c r="F51" s="12">
        <f>+E51/C51</f>
        <v>0</v>
      </c>
      <c r="G51" s="109">
        <f t="shared" si="12"/>
        <v>349363.09000000136</v>
      </c>
      <c r="H51" s="13">
        <v>656033.13</v>
      </c>
      <c r="I51" s="14">
        <f>-1</f>
        <v>-1</v>
      </c>
      <c r="J51" s="14">
        <f>219666.96+67322.53+19679.55</f>
        <v>306669.03999999998</v>
      </c>
      <c r="K51" s="14">
        <f>H51+I51-J51</f>
        <v>349363.09</v>
      </c>
      <c r="L51" s="15">
        <f t="shared" si="16"/>
        <v>0</v>
      </c>
      <c r="M51" s="62">
        <f t="shared" si="13"/>
        <v>-1.3387762010097504E-9</v>
      </c>
      <c r="N51" s="272"/>
    </row>
    <row r="52" spans="1:18" x14ac:dyDescent="0.2">
      <c r="A52" s="139" t="s">
        <v>30</v>
      </c>
      <c r="B52" s="10">
        <v>21170988.52</v>
      </c>
      <c r="C52" s="10">
        <f>+B52-21163370.79</f>
        <v>7617.730000000447</v>
      </c>
      <c r="D52" s="11">
        <v>0</v>
      </c>
      <c r="E52" s="10">
        <v>0</v>
      </c>
      <c r="F52" s="12">
        <f>+E52/C52</f>
        <v>0</v>
      </c>
      <c r="G52" s="109">
        <f t="shared" si="12"/>
        <v>7617.730000000447</v>
      </c>
      <c r="H52" s="13">
        <v>113156.96</v>
      </c>
      <c r="I52" s="14">
        <f>63664.06+25043.71</f>
        <v>88707.76999999999</v>
      </c>
      <c r="J52" s="14">
        <f>170257+6000+17990</f>
        <v>194247</v>
      </c>
      <c r="K52" s="14">
        <f>H52+I52-J52</f>
        <v>7617.7299999999814</v>
      </c>
      <c r="L52" s="15">
        <f t="shared" si="16"/>
        <v>0</v>
      </c>
      <c r="M52" s="107">
        <f t="shared" si="13"/>
        <v>-4.6566128730773926E-10</v>
      </c>
      <c r="N52" s="273"/>
      <c r="Q52" s="141"/>
      <c r="R52" s="144"/>
    </row>
    <row r="53" spans="1:18" ht="27" x14ac:dyDescent="0.2">
      <c r="A53" s="139" t="s">
        <v>56</v>
      </c>
      <c r="B53" s="10">
        <v>1500000</v>
      </c>
      <c r="C53" s="10">
        <f>1500000-1499965.2</f>
        <v>34.800000000046566</v>
      </c>
      <c r="D53" s="11">
        <v>0</v>
      </c>
      <c r="E53" s="10">
        <v>0</v>
      </c>
      <c r="F53" s="12">
        <f>+E53/C53</f>
        <v>0</v>
      </c>
      <c r="G53" s="109">
        <f t="shared" si="12"/>
        <v>34.800000000046566</v>
      </c>
      <c r="H53" s="13">
        <v>34.799999999999997</v>
      </c>
      <c r="I53" s="14">
        <v>0</v>
      </c>
      <c r="J53" s="14">
        <v>0</v>
      </c>
      <c r="K53" s="14">
        <f>H53+I53-J53</f>
        <v>34.799999999999997</v>
      </c>
      <c r="L53" s="15">
        <f t="shared" si="16"/>
        <v>0</v>
      </c>
      <c r="M53" s="107">
        <f t="shared" si="13"/>
        <v>-4.6568970901716966E-11</v>
      </c>
      <c r="N53" s="273"/>
      <c r="Q53" s="141"/>
      <c r="R53" s="144"/>
    </row>
    <row r="54" spans="1:18" x14ac:dyDescent="0.2">
      <c r="A54" s="139" t="s">
        <v>58</v>
      </c>
      <c r="B54" s="10">
        <v>8800000</v>
      </c>
      <c r="C54" s="10">
        <f>+B54-8793327.97</f>
        <v>6672.0299999993294</v>
      </c>
      <c r="D54" s="11">
        <v>0</v>
      </c>
      <c r="E54" s="10">
        <v>0</v>
      </c>
      <c r="F54" s="12">
        <f>+E54/C54</f>
        <v>0</v>
      </c>
      <c r="G54" s="109">
        <f t="shared" si="12"/>
        <v>6672.0299999993294</v>
      </c>
      <c r="H54" s="13">
        <v>136749.53</v>
      </c>
      <c r="I54" s="14">
        <v>0</v>
      </c>
      <c r="J54" s="14">
        <f>75804.55+37902.27+11370.68+5000</f>
        <v>130077.5</v>
      </c>
      <c r="K54" s="14">
        <f>H54+I54-J54</f>
        <v>6672.0299999999988</v>
      </c>
      <c r="L54" s="15">
        <f t="shared" si="16"/>
        <v>0</v>
      </c>
      <c r="M54" s="107">
        <f t="shared" si="13"/>
        <v>6.6938810050487518E-10</v>
      </c>
      <c r="N54" s="273"/>
      <c r="Q54" s="141"/>
      <c r="R54" s="144"/>
    </row>
    <row r="55" spans="1:18" x14ac:dyDescent="0.2">
      <c r="A55" s="139" t="s">
        <v>57</v>
      </c>
      <c r="B55" s="10">
        <v>3362600</v>
      </c>
      <c r="C55" s="10">
        <f>+B55-3361389.36</f>
        <v>1210.6400000001304</v>
      </c>
      <c r="D55" s="11">
        <v>0</v>
      </c>
      <c r="E55" s="10">
        <v>0</v>
      </c>
      <c r="F55" s="12">
        <f>+E55/C55</f>
        <v>0</v>
      </c>
      <c r="G55" s="109">
        <f t="shared" si="12"/>
        <v>1210.6400000001304</v>
      </c>
      <c r="H55" s="13">
        <v>54023.49</v>
      </c>
      <c r="I55" s="14">
        <v>0</v>
      </c>
      <c r="J55" s="14">
        <f>28977.48+14488.74+4346.63+5000</f>
        <v>52812.85</v>
      </c>
      <c r="K55" s="14">
        <f>H55+I55-J55</f>
        <v>1210.6399999999994</v>
      </c>
      <c r="L55" s="15">
        <f t="shared" si="16"/>
        <v>0</v>
      </c>
      <c r="M55" s="107">
        <f t="shared" si="13"/>
        <v>-1.3096723705530167E-10</v>
      </c>
      <c r="N55" s="273"/>
      <c r="Q55" s="141"/>
      <c r="R55" s="144"/>
    </row>
    <row r="56" spans="1:18" s="5" customFormat="1" x14ac:dyDescent="0.2">
      <c r="A56" s="20" t="s">
        <v>51</v>
      </c>
      <c r="B56" s="21">
        <f t="shared" ref="B56:K56" si="17">SUM(B42:B52)</f>
        <v>103250242.27999999</v>
      </c>
      <c r="C56" s="21">
        <f t="shared" si="17"/>
        <v>28833103.990000006</v>
      </c>
      <c r="D56" s="21">
        <f t="shared" si="17"/>
        <v>186451.15</v>
      </c>
      <c r="E56" s="21">
        <f t="shared" si="17"/>
        <v>27921430.050000001</v>
      </c>
      <c r="F56" s="21">
        <f t="shared" si="17"/>
        <v>5.1239966036389255</v>
      </c>
      <c r="G56" s="21">
        <f t="shared" si="17"/>
        <v>1098125.0900000017</v>
      </c>
      <c r="H56" s="21">
        <f t="shared" si="17"/>
        <v>1706025.83</v>
      </c>
      <c r="I56" s="21">
        <f t="shared" si="17"/>
        <v>1021607.79</v>
      </c>
      <c r="J56" s="21">
        <f t="shared" si="17"/>
        <v>1629508.5300000003</v>
      </c>
      <c r="K56" s="21">
        <f t="shared" si="17"/>
        <v>1098125.0899999999</v>
      </c>
      <c r="L56" s="23"/>
      <c r="M56" s="61"/>
      <c r="N56" s="203"/>
      <c r="O56" s="143"/>
      <c r="P56" s="143"/>
    </row>
    <row r="57" spans="1:18" s="17" customFormat="1" x14ac:dyDescent="0.25">
      <c r="A57" s="139" t="s">
        <v>18</v>
      </c>
      <c r="B57" s="10">
        <f>+C57</f>
        <v>557287.6400000006</v>
      </c>
      <c r="C57" s="10">
        <f>9497181.34-8522902.7-416991</f>
        <v>557287.6400000006</v>
      </c>
      <c r="D57" s="11">
        <v>0</v>
      </c>
      <c r="E57" s="10">
        <v>2038.23</v>
      </c>
      <c r="F57" s="12">
        <f>+E57/C57</f>
        <v>3.657411099230548E-3</v>
      </c>
      <c r="G57" s="10">
        <f>+C57+D57-E57</f>
        <v>555249.41000000061</v>
      </c>
      <c r="H57" s="13">
        <f>362224.72-0.47</f>
        <v>362224.25</v>
      </c>
      <c r="I57" s="14">
        <f>22013.2+172259.48</f>
        <v>194272.68000000002</v>
      </c>
      <c r="J57" s="14">
        <f>-4302.52+5550.04</f>
        <v>1247.5199999999995</v>
      </c>
      <c r="K57" s="14">
        <f>H57+I57-J57</f>
        <v>555249.41</v>
      </c>
      <c r="L57" s="15">
        <f>+F57</f>
        <v>3.657411099230548E-3</v>
      </c>
      <c r="M57" s="155">
        <f t="shared" ref="M57:M66" si="18">+K57-G57</f>
        <v>0</v>
      </c>
      <c r="N57" s="187"/>
      <c r="O57" s="142"/>
      <c r="P57" s="142"/>
    </row>
    <row r="58" spans="1:18" x14ac:dyDescent="0.2">
      <c r="A58" s="139" t="s">
        <v>20</v>
      </c>
      <c r="B58" s="10">
        <v>0</v>
      </c>
      <c r="C58" s="10">
        <f>981063.54-174602.54</f>
        <v>806461</v>
      </c>
      <c r="D58" s="11">
        <v>0</v>
      </c>
      <c r="E58" s="10">
        <v>0</v>
      </c>
      <c r="F58" s="12">
        <f t="shared" ref="F58:F67" si="19">+E58/C58</f>
        <v>0</v>
      </c>
      <c r="G58" s="10">
        <f>+C58+D58-E58</f>
        <v>806461</v>
      </c>
      <c r="H58" s="13">
        <v>1795340.56</v>
      </c>
      <c r="I58" s="14">
        <v>1162</v>
      </c>
      <c r="J58" s="14">
        <f>272555.03+160187.53+557299</f>
        <v>990041.56</v>
      </c>
      <c r="K58" s="14">
        <f t="shared" ref="K58:K83" si="20">H58+I58-J58</f>
        <v>806461</v>
      </c>
      <c r="L58" s="15">
        <f t="shared" ref="L58:L67" si="21">+F58</f>
        <v>0</v>
      </c>
      <c r="M58" s="62">
        <f>+K58-G58</f>
        <v>0</v>
      </c>
      <c r="N58" s="272"/>
    </row>
    <row r="59" spans="1:18" x14ac:dyDescent="0.2">
      <c r="A59" s="139" t="s">
        <v>21</v>
      </c>
      <c r="B59" s="10">
        <f t="shared" ref="B59:B67" si="22">+C59</f>
        <v>465.82999999998719</v>
      </c>
      <c r="C59" s="10">
        <f>266576.99-80893-185218.16</f>
        <v>465.82999999998719</v>
      </c>
      <c r="D59" s="11">
        <v>0</v>
      </c>
      <c r="E59" s="10">
        <v>0</v>
      </c>
      <c r="F59" s="12">
        <f t="shared" si="19"/>
        <v>0</v>
      </c>
      <c r="G59" s="10">
        <f>+C59+D59-E59</f>
        <v>465.82999999998719</v>
      </c>
      <c r="H59" s="13">
        <v>465.83</v>
      </c>
      <c r="I59" s="14">
        <v>0</v>
      </c>
      <c r="J59" s="14">
        <v>0</v>
      </c>
      <c r="K59" s="14">
        <f t="shared" si="20"/>
        <v>465.83</v>
      </c>
      <c r="L59" s="15">
        <f t="shared" si="21"/>
        <v>0</v>
      </c>
      <c r="M59" s="155">
        <f t="shared" si="18"/>
        <v>1.2789769243681803E-11</v>
      </c>
    </row>
    <row r="60" spans="1:18" x14ac:dyDescent="0.2">
      <c r="A60" s="139" t="s">
        <v>22</v>
      </c>
      <c r="B60" s="10">
        <f t="shared" si="22"/>
        <v>6067.4599999999627</v>
      </c>
      <c r="C60" s="10">
        <f>375412.66-201977-167368.2</f>
        <v>6067.4599999999627</v>
      </c>
      <c r="D60" s="10">
        <v>149.51</v>
      </c>
      <c r="E60" s="10">
        <v>0</v>
      </c>
      <c r="F60" s="12">
        <f t="shared" si="19"/>
        <v>0</v>
      </c>
      <c r="G60" s="10">
        <f t="shared" ref="G60:G65" si="23">+C60+D60-E60</f>
        <v>6216.969999999963</v>
      </c>
      <c r="H60" s="13">
        <v>6216.97</v>
      </c>
      <c r="I60" s="14">
        <v>0</v>
      </c>
      <c r="J60" s="14">
        <v>0</v>
      </c>
      <c r="K60" s="14">
        <f t="shared" si="20"/>
        <v>6216.97</v>
      </c>
      <c r="L60" s="15">
        <f t="shared" si="21"/>
        <v>0</v>
      </c>
      <c r="M60" s="62">
        <f t="shared" si="18"/>
        <v>3.7289282772690058E-11</v>
      </c>
    </row>
    <row r="61" spans="1:18" x14ac:dyDescent="0.2">
      <c r="A61" s="139" t="s">
        <v>23</v>
      </c>
      <c r="B61" s="10">
        <f t="shared" si="22"/>
        <v>17016.04999999993</v>
      </c>
      <c r="C61" s="10">
        <f>1302246.39-788192.61-497037.73</f>
        <v>17016.04999999993</v>
      </c>
      <c r="D61" s="10">
        <v>408.58</v>
      </c>
      <c r="E61" s="10">
        <v>0</v>
      </c>
      <c r="F61" s="12">
        <f t="shared" si="19"/>
        <v>0</v>
      </c>
      <c r="G61" s="10">
        <f t="shared" si="23"/>
        <v>17424.629999999932</v>
      </c>
      <c r="H61" s="13">
        <v>17424.63</v>
      </c>
      <c r="I61" s="14">
        <v>0</v>
      </c>
      <c r="J61" s="14">
        <v>0</v>
      </c>
      <c r="K61" s="14">
        <f t="shared" si="20"/>
        <v>17424.63</v>
      </c>
      <c r="L61" s="15">
        <f t="shared" si="21"/>
        <v>0</v>
      </c>
      <c r="M61" s="155">
        <f t="shared" si="18"/>
        <v>6.9121597334742546E-11</v>
      </c>
    </row>
    <row r="62" spans="1:18" x14ac:dyDescent="0.2">
      <c r="A62" s="139" t="s">
        <v>24</v>
      </c>
      <c r="B62" s="10">
        <f t="shared" si="22"/>
        <v>412246.5499999997</v>
      </c>
      <c r="C62" s="10">
        <f>13636634.35-13212786.17-11601.63</f>
        <v>412246.5499999997</v>
      </c>
      <c r="D62" s="11">
        <v>-459</v>
      </c>
      <c r="E62" s="10">
        <v>0</v>
      </c>
      <c r="F62" s="12">
        <f t="shared" si="19"/>
        <v>0</v>
      </c>
      <c r="G62" s="10">
        <f>+C62+D62-E62</f>
        <v>411787.5499999997</v>
      </c>
      <c r="H62" s="13">
        <v>37530.339999999997</v>
      </c>
      <c r="I62" s="14">
        <v>456237</v>
      </c>
      <c r="J62" s="14">
        <f>52394.42+7312.79+22272.58</f>
        <v>81979.790000000008</v>
      </c>
      <c r="K62" s="14">
        <f t="shared" si="20"/>
        <v>411787.54999999993</v>
      </c>
      <c r="L62" s="15">
        <f t="shared" si="21"/>
        <v>0</v>
      </c>
      <c r="M62" s="62">
        <f t="shared" si="18"/>
        <v>0</v>
      </c>
    </row>
    <row r="63" spans="1:18" x14ac:dyDescent="0.2">
      <c r="A63" s="139" t="s">
        <v>25</v>
      </c>
      <c r="B63" s="10">
        <f t="shared" si="22"/>
        <v>5151.3900000000722</v>
      </c>
      <c r="C63" s="10">
        <f>868753.03-542712.97-320888.67</f>
        <v>5151.3900000000722</v>
      </c>
      <c r="D63" s="10">
        <v>131.31</v>
      </c>
      <c r="E63" s="10">
        <v>0</v>
      </c>
      <c r="F63" s="12">
        <f t="shared" si="19"/>
        <v>0</v>
      </c>
      <c r="G63" s="10">
        <f t="shared" si="23"/>
        <v>5282.7000000000726</v>
      </c>
      <c r="H63" s="13">
        <v>5282.7</v>
      </c>
      <c r="I63" s="14">
        <v>0</v>
      </c>
      <c r="J63" s="14">
        <v>0</v>
      </c>
      <c r="K63" s="14">
        <f t="shared" si="20"/>
        <v>5282.7</v>
      </c>
      <c r="L63" s="15">
        <f t="shared" si="21"/>
        <v>0</v>
      </c>
      <c r="M63" s="155">
        <f t="shared" si="18"/>
        <v>-7.2759576141834259E-11</v>
      </c>
    </row>
    <row r="64" spans="1:18" x14ac:dyDescent="0.2">
      <c r="A64" s="139" t="s">
        <v>27</v>
      </c>
      <c r="B64" s="10">
        <f t="shared" si="22"/>
        <v>3767.3699999999953</v>
      </c>
      <c r="C64" s="10">
        <f>573447.69-569680.32</f>
        <v>3767.3699999999953</v>
      </c>
      <c r="D64" s="11">
        <v>0</v>
      </c>
      <c r="E64" s="10">
        <v>0</v>
      </c>
      <c r="F64" s="12">
        <f t="shared" si="19"/>
        <v>0</v>
      </c>
      <c r="G64" s="10">
        <f t="shared" si="23"/>
        <v>3767.3699999999953</v>
      </c>
      <c r="H64" s="13">
        <v>3767.37</v>
      </c>
      <c r="I64" s="14">
        <v>0</v>
      </c>
      <c r="J64" s="14">
        <v>0</v>
      </c>
      <c r="K64" s="14">
        <f t="shared" si="20"/>
        <v>3767.37</v>
      </c>
      <c r="L64" s="15">
        <f t="shared" si="21"/>
        <v>0</v>
      </c>
      <c r="M64" s="62">
        <f t="shared" si="18"/>
        <v>4.5474735088646412E-12</v>
      </c>
    </row>
    <row r="65" spans="1:16" x14ac:dyDescent="0.2">
      <c r="A65" s="139" t="s">
        <v>28</v>
      </c>
      <c r="B65" s="10">
        <f t="shared" si="22"/>
        <v>542.31999999999971</v>
      </c>
      <c r="C65" s="10">
        <f>36484.65-0-35942.33</f>
        <v>542.31999999999971</v>
      </c>
      <c r="D65" s="11">
        <v>0</v>
      </c>
      <c r="E65" s="10">
        <v>0</v>
      </c>
      <c r="F65" s="12">
        <f t="shared" si="19"/>
        <v>0</v>
      </c>
      <c r="G65" s="10">
        <f t="shared" si="23"/>
        <v>542.31999999999971</v>
      </c>
      <c r="H65" s="13">
        <v>542.32000000000005</v>
      </c>
      <c r="I65" s="14">
        <v>0</v>
      </c>
      <c r="J65" s="14">
        <v>0</v>
      </c>
      <c r="K65" s="14">
        <f t="shared" si="20"/>
        <v>542.32000000000005</v>
      </c>
      <c r="L65" s="15">
        <f t="shared" si="21"/>
        <v>0</v>
      </c>
      <c r="M65" s="155">
        <f t="shared" si="18"/>
        <v>0</v>
      </c>
    </row>
    <row r="66" spans="1:16" x14ac:dyDescent="0.2">
      <c r="A66" s="139" t="s">
        <v>29</v>
      </c>
      <c r="B66" s="10">
        <f>+C66</f>
        <v>489577.01999999862</v>
      </c>
      <c r="C66" s="10">
        <f>25804148.7-21535015.98-3779555.7</f>
        <v>489577.01999999862</v>
      </c>
      <c r="D66" s="45"/>
      <c r="E66" s="10">
        <v>0</v>
      </c>
      <c r="F66" s="12">
        <f t="shared" si="19"/>
        <v>0</v>
      </c>
      <c r="G66" s="10">
        <f>+C66+D66-E66</f>
        <v>489577.01999999862</v>
      </c>
      <c r="H66" s="13">
        <f>2255525.44-1688966.46</f>
        <v>566558.98</v>
      </c>
      <c r="I66" s="14">
        <v>122706.07</v>
      </c>
      <c r="J66" s="14">
        <f>20016.25+99956.62+61086.68+18628.48</f>
        <v>199688.03</v>
      </c>
      <c r="K66" s="14">
        <f>H66+I66-J66</f>
        <v>489577.02</v>
      </c>
      <c r="L66" s="15">
        <f t="shared" si="21"/>
        <v>0</v>
      </c>
      <c r="M66" s="62">
        <f t="shared" si="18"/>
        <v>1.3969838619232178E-9</v>
      </c>
      <c r="N66" s="272"/>
    </row>
    <row r="67" spans="1:16" x14ac:dyDescent="0.2">
      <c r="A67" s="139" t="s">
        <v>30</v>
      </c>
      <c r="B67" s="10">
        <f t="shared" si="22"/>
        <v>193749.02000000025</v>
      </c>
      <c r="C67" s="10">
        <f>19272341-17976826.68-1101765.3</f>
        <v>193749.02000000025</v>
      </c>
      <c r="D67" s="10">
        <v>4227.0200000000004</v>
      </c>
      <c r="E67" s="10">
        <v>0</v>
      </c>
      <c r="F67" s="12">
        <f t="shared" si="19"/>
        <v>0</v>
      </c>
      <c r="G67" s="10">
        <f>+C67+D67-E67</f>
        <v>197976.04000000024</v>
      </c>
      <c r="H67" s="13">
        <v>171700.75</v>
      </c>
      <c r="I67" s="14">
        <v>296402</v>
      </c>
      <c r="J67" s="14">
        <f>26299+244312.48</f>
        <v>270611.48</v>
      </c>
      <c r="K67" s="14">
        <f>H67+I67-J67</f>
        <v>197491.27000000002</v>
      </c>
      <c r="L67" s="15">
        <f t="shared" si="21"/>
        <v>0</v>
      </c>
      <c r="M67" s="155">
        <f>+K67-G67</f>
        <v>-484.77000000022235</v>
      </c>
      <c r="N67" s="273"/>
    </row>
    <row r="68" spans="1:16" s="5" customFormat="1" x14ac:dyDescent="0.2">
      <c r="A68" s="20" t="s">
        <v>33</v>
      </c>
      <c r="B68" s="21">
        <f>SUM(B57:B67)</f>
        <v>1685870.649999999</v>
      </c>
      <c r="C68" s="21">
        <f>SUM(C57:C67)</f>
        <v>2492331.6499999994</v>
      </c>
      <c r="D68" s="21">
        <f>SUM(D57:D67)</f>
        <v>4457.42</v>
      </c>
      <c r="E68" s="21">
        <f>SUM(E57:E67)</f>
        <v>2038.23</v>
      </c>
      <c r="F68" s="22">
        <f>+E68/C68</f>
        <v>8.178004721000917E-4</v>
      </c>
      <c r="G68" s="21">
        <f>SUM(G57:G67)</f>
        <v>2494750.8399999989</v>
      </c>
      <c r="H68" s="21">
        <f>SUM(H57:H67)</f>
        <v>2967054.7</v>
      </c>
      <c r="I68" s="21">
        <f>SUM(I57:I67)</f>
        <v>1070779.75</v>
      </c>
      <c r="J68" s="21">
        <f>SUM(J57:J67)</f>
        <v>1543568.3800000001</v>
      </c>
      <c r="K68" s="21">
        <f>SUM(K57:K67)</f>
        <v>2494266.0700000003</v>
      </c>
      <c r="L68" s="23"/>
      <c r="M68" s="62">
        <f t="shared" ref="M68:M84" si="24">+K68-G68</f>
        <v>-484.76999999862164</v>
      </c>
      <c r="N68" s="203"/>
      <c r="O68" s="143"/>
      <c r="P68" s="143"/>
    </row>
    <row r="69" spans="1:16" x14ac:dyDescent="0.2">
      <c r="A69" s="139" t="s">
        <v>34</v>
      </c>
      <c r="B69" s="10">
        <v>0</v>
      </c>
      <c r="C69" s="10">
        <v>256006.06</v>
      </c>
      <c r="D69" s="13">
        <v>440.75</v>
      </c>
      <c r="E69" s="10">
        <v>0</v>
      </c>
      <c r="F69" s="12">
        <v>0</v>
      </c>
      <c r="G69" s="10">
        <f>+C69+D69-E69</f>
        <v>256446.81</v>
      </c>
      <c r="H69" s="10">
        <v>238695.02</v>
      </c>
      <c r="I69" s="10">
        <v>30099.8</v>
      </c>
      <c r="J69" s="10">
        <v>12348.01</v>
      </c>
      <c r="K69" s="10">
        <f t="shared" si="20"/>
        <v>256446.81</v>
      </c>
      <c r="L69" s="15"/>
      <c r="M69" s="62">
        <f t="shared" si="24"/>
        <v>0</v>
      </c>
    </row>
    <row r="70" spans="1:16" x14ac:dyDescent="0.2">
      <c r="A70" s="20" t="s">
        <v>35</v>
      </c>
      <c r="B70" s="25">
        <f t="shared" ref="B70:K70" si="25">SUM(B69:B69)</f>
        <v>0</v>
      </c>
      <c r="C70" s="25">
        <f t="shared" si="25"/>
        <v>256006.06</v>
      </c>
      <c r="D70" s="25">
        <f t="shared" si="25"/>
        <v>440.75</v>
      </c>
      <c r="E70" s="25">
        <f t="shared" si="25"/>
        <v>0</v>
      </c>
      <c r="F70" s="25">
        <f t="shared" si="25"/>
        <v>0</v>
      </c>
      <c r="G70" s="25">
        <f t="shared" si="25"/>
        <v>256446.81</v>
      </c>
      <c r="H70" s="25">
        <f t="shared" si="25"/>
        <v>238695.02</v>
      </c>
      <c r="I70" s="25">
        <f t="shared" si="25"/>
        <v>30099.8</v>
      </c>
      <c r="J70" s="25">
        <f t="shared" si="25"/>
        <v>12348.01</v>
      </c>
      <c r="K70" s="25">
        <f t="shared" si="25"/>
        <v>256446.81</v>
      </c>
      <c r="L70" s="27"/>
      <c r="M70" s="62">
        <f t="shared" si="24"/>
        <v>0</v>
      </c>
    </row>
    <row r="71" spans="1:16" x14ac:dyDescent="0.2">
      <c r="A71" s="13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0.47</v>
      </c>
      <c r="H71" s="10">
        <v>0.47</v>
      </c>
      <c r="I71" s="10">
        <v>0</v>
      </c>
      <c r="J71" s="10">
        <v>0</v>
      </c>
      <c r="K71" s="10">
        <f t="shared" si="20"/>
        <v>0.47</v>
      </c>
      <c r="L71" s="15"/>
      <c r="M71" s="62">
        <f t="shared" si="24"/>
        <v>0</v>
      </c>
    </row>
    <row r="72" spans="1:16" x14ac:dyDescent="0.2">
      <c r="A72" s="139" t="s">
        <v>29</v>
      </c>
      <c r="B72" s="10">
        <v>0</v>
      </c>
      <c r="C72" s="10">
        <v>0</v>
      </c>
      <c r="D72" s="10">
        <v>0</v>
      </c>
      <c r="E72" s="10">
        <v>0</v>
      </c>
      <c r="F72" s="12">
        <v>0</v>
      </c>
      <c r="G72" s="10">
        <v>17.399999999999999</v>
      </c>
      <c r="H72" s="10">
        <v>17.399999999999999</v>
      </c>
      <c r="I72" s="10"/>
      <c r="J72" s="10">
        <v>0</v>
      </c>
      <c r="K72" s="10">
        <f t="shared" si="20"/>
        <v>17.399999999999999</v>
      </c>
      <c r="L72" s="15"/>
      <c r="M72" s="62">
        <f t="shared" si="24"/>
        <v>0</v>
      </c>
    </row>
    <row r="73" spans="1:16" x14ac:dyDescent="0.2">
      <c r="A73" s="20" t="s">
        <v>37</v>
      </c>
      <c r="B73" s="25">
        <f t="shared" ref="B73:K73" si="26">SUM(B71:B72)</f>
        <v>0</v>
      </c>
      <c r="C73" s="25">
        <f t="shared" si="26"/>
        <v>0</v>
      </c>
      <c r="D73" s="25">
        <f t="shared" si="26"/>
        <v>0</v>
      </c>
      <c r="E73" s="25">
        <f t="shared" si="26"/>
        <v>0</v>
      </c>
      <c r="F73" s="25">
        <f t="shared" si="26"/>
        <v>0</v>
      </c>
      <c r="G73" s="25">
        <f t="shared" si="26"/>
        <v>17.869999999999997</v>
      </c>
      <c r="H73" s="25">
        <f t="shared" si="26"/>
        <v>17.869999999999997</v>
      </c>
      <c r="I73" s="25">
        <f t="shared" si="26"/>
        <v>0</v>
      </c>
      <c r="J73" s="25">
        <f t="shared" si="26"/>
        <v>0</v>
      </c>
      <c r="K73" s="25">
        <f t="shared" si="26"/>
        <v>17.869999999999997</v>
      </c>
      <c r="L73" s="27"/>
      <c r="M73" s="62">
        <f>+K73-G73</f>
        <v>0</v>
      </c>
    </row>
    <row r="74" spans="1:16" x14ac:dyDescent="0.2">
      <c r="A74" s="139" t="s">
        <v>18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1392</v>
      </c>
      <c r="H74" s="10">
        <v>1392</v>
      </c>
      <c r="I74" s="10">
        <v>0</v>
      </c>
      <c r="J74" s="10">
        <v>0</v>
      </c>
      <c r="K74" s="10">
        <f t="shared" si="20"/>
        <v>1392</v>
      </c>
      <c r="L74" s="15"/>
      <c r="M74" s="62">
        <f t="shared" si="24"/>
        <v>0</v>
      </c>
    </row>
    <row r="75" spans="1:16" x14ac:dyDescent="0.2">
      <c r="A75" s="139" t="s">
        <v>20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382.8</v>
      </c>
      <c r="H75" s="10">
        <v>382.8</v>
      </c>
      <c r="I75" s="10">
        <v>0</v>
      </c>
      <c r="J75" s="10">
        <v>0</v>
      </c>
      <c r="K75" s="10">
        <f t="shared" si="20"/>
        <v>382.8</v>
      </c>
      <c r="L75" s="15"/>
      <c r="M75" s="62">
        <f t="shared" si="24"/>
        <v>0</v>
      </c>
    </row>
    <row r="76" spans="1:16" x14ac:dyDescent="0.2">
      <c r="A76" s="139" t="s">
        <v>29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242057.67</v>
      </c>
      <c r="H76" s="10">
        <v>242057.67</v>
      </c>
      <c r="I76" s="10">
        <v>0</v>
      </c>
      <c r="J76" s="10">
        <v>0</v>
      </c>
      <c r="K76" s="10">
        <f t="shared" si="20"/>
        <v>242057.67</v>
      </c>
      <c r="L76" s="15"/>
      <c r="M76" s="62">
        <f t="shared" si="24"/>
        <v>0</v>
      </c>
    </row>
    <row r="77" spans="1:16" x14ac:dyDescent="0.2">
      <c r="A77" s="20" t="s">
        <v>38</v>
      </c>
      <c r="B77" s="25">
        <f t="shared" ref="B77:K77" si="27">SUM(B74:B76)</f>
        <v>0</v>
      </c>
      <c r="C77" s="25">
        <f t="shared" si="27"/>
        <v>0</v>
      </c>
      <c r="D77" s="25">
        <f t="shared" si="27"/>
        <v>0</v>
      </c>
      <c r="E77" s="25">
        <f t="shared" si="27"/>
        <v>0</v>
      </c>
      <c r="F77" s="25">
        <f t="shared" si="27"/>
        <v>0</v>
      </c>
      <c r="G77" s="25">
        <f t="shared" si="27"/>
        <v>243832.47</v>
      </c>
      <c r="H77" s="25">
        <f t="shared" si="27"/>
        <v>243832.47</v>
      </c>
      <c r="I77" s="25">
        <f t="shared" si="27"/>
        <v>0</v>
      </c>
      <c r="J77" s="25">
        <f t="shared" si="27"/>
        <v>0</v>
      </c>
      <c r="K77" s="25">
        <f t="shared" si="27"/>
        <v>243832.47</v>
      </c>
      <c r="L77" s="27"/>
      <c r="M77" s="62">
        <f t="shared" si="24"/>
        <v>0</v>
      </c>
    </row>
    <row r="78" spans="1:16" x14ac:dyDescent="0.2">
      <c r="A78" s="139" t="s">
        <v>36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-10</v>
      </c>
      <c r="H78" s="10">
        <v>-10</v>
      </c>
      <c r="I78" s="10">
        <v>0</v>
      </c>
      <c r="J78" s="10">
        <v>0</v>
      </c>
      <c r="K78" s="10">
        <f t="shared" si="20"/>
        <v>-10</v>
      </c>
      <c r="L78" s="15"/>
      <c r="M78" s="62">
        <f t="shared" si="24"/>
        <v>0</v>
      </c>
    </row>
    <row r="79" spans="1:16" x14ac:dyDescent="0.2">
      <c r="A79" s="139" t="s">
        <v>20</v>
      </c>
      <c r="B79" s="10">
        <v>0</v>
      </c>
      <c r="C79" s="10">
        <v>0</v>
      </c>
      <c r="D79" s="10"/>
      <c r="E79" s="10">
        <v>0</v>
      </c>
      <c r="F79" s="12">
        <v>0</v>
      </c>
      <c r="G79" s="10">
        <v>219.47</v>
      </c>
      <c r="H79" s="10">
        <v>219.47</v>
      </c>
      <c r="I79" s="10">
        <v>0</v>
      </c>
      <c r="J79" s="10">
        <v>0</v>
      </c>
      <c r="K79" s="10">
        <f t="shared" si="20"/>
        <v>219.47</v>
      </c>
      <c r="L79" s="15"/>
      <c r="M79" s="62">
        <f t="shared" si="24"/>
        <v>0</v>
      </c>
    </row>
    <row r="80" spans="1:16" x14ac:dyDescent="0.2">
      <c r="A80" s="139" t="s">
        <v>24</v>
      </c>
      <c r="B80" s="10">
        <v>0</v>
      </c>
      <c r="C80" s="10">
        <v>0</v>
      </c>
      <c r="D80" s="10"/>
      <c r="E80" s="10">
        <v>0</v>
      </c>
      <c r="F80" s="12">
        <v>0</v>
      </c>
      <c r="G80" s="10">
        <v>1150.8900000000001</v>
      </c>
      <c r="H80" s="10">
        <v>42631.81</v>
      </c>
      <c r="I80" s="10">
        <v>412765.08</v>
      </c>
      <c r="J80" s="10">
        <v>454246</v>
      </c>
      <c r="K80" s="10">
        <f t="shared" si="20"/>
        <v>1150.890000000014</v>
      </c>
      <c r="L80" s="15"/>
      <c r="M80" s="62">
        <f t="shared" si="24"/>
        <v>1.3869794202037156E-11</v>
      </c>
    </row>
    <row r="81" spans="1:13" x14ac:dyDescent="0.2">
      <c r="A81" s="139" t="s">
        <v>25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719.87</v>
      </c>
      <c r="H81" s="10">
        <v>719.87</v>
      </c>
      <c r="I81" s="10">
        <v>0</v>
      </c>
      <c r="J81" s="10">
        <v>0</v>
      </c>
      <c r="K81" s="10">
        <f t="shared" si="20"/>
        <v>719.87</v>
      </c>
      <c r="L81" s="15"/>
      <c r="M81" s="62">
        <f t="shared" si="24"/>
        <v>0</v>
      </c>
    </row>
    <row r="82" spans="1:13" x14ac:dyDescent="0.2">
      <c r="A82" s="139" t="s">
        <v>27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267528.84000000003</v>
      </c>
      <c r="H82" s="10">
        <v>0</v>
      </c>
      <c r="I82" s="10">
        <v>267528.84000000003</v>
      </c>
      <c r="J82" s="10">
        <v>0</v>
      </c>
      <c r="K82" s="10">
        <f t="shared" si="20"/>
        <v>267528.84000000003</v>
      </c>
      <c r="L82" s="15"/>
      <c r="M82" s="62">
        <f t="shared" si="24"/>
        <v>0</v>
      </c>
    </row>
    <row r="83" spans="1:13" x14ac:dyDescent="0.2">
      <c r="A83" s="139" t="s">
        <v>29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236767.4</v>
      </c>
      <c r="H83" s="10">
        <v>243581.68</v>
      </c>
      <c r="I83" s="10">
        <v>0</v>
      </c>
      <c r="J83" s="10">
        <f>2827.74+3986.54</f>
        <v>6814.28</v>
      </c>
      <c r="K83" s="10">
        <f t="shared" si="20"/>
        <v>236767.4</v>
      </c>
      <c r="L83" s="15"/>
      <c r="M83" s="62">
        <f t="shared" si="24"/>
        <v>0</v>
      </c>
    </row>
    <row r="84" spans="1:13" x14ac:dyDescent="0.2">
      <c r="A84" s="20" t="s">
        <v>39</v>
      </c>
      <c r="B84" s="25">
        <f t="shared" ref="B84:K84" si="28">SUM(B78:B83)</f>
        <v>0</v>
      </c>
      <c r="C84" s="25">
        <f t="shared" si="28"/>
        <v>0</v>
      </c>
      <c r="D84" s="25">
        <f t="shared" si="28"/>
        <v>0</v>
      </c>
      <c r="E84" s="25">
        <f t="shared" si="28"/>
        <v>0</v>
      </c>
      <c r="F84" s="25">
        <f t="shared" si="28"/>
        <v>0</v>
      </c>
      <c r="G84" s="25">
        <f t="shared" si="28"/>
        <v>506376.47</v>
      </c>
      <c r="H84" s="25">
        <f t="shared" si="28"/>
        <v>287142.83</v>
      </c>
      <c r="I84" s="25">
        <f t="shared" si="28"/>
        <v>680293.92</v>
      </c>
      <c r="J84" s="25">
        <f t="shared" si="28"/>
        <v>461060.28</v>
      </c>
      <c r="K84" s="25">
        <f t="shared" si="28"/>
        <v>506376.47000000009</v>
      </c>
      <c r="L84" s="27"/>
      <c r="M84" s="62">
        <f t="shared" si="24"/>
        <v>0</v>
      </c>
    </row>
    <row r="85" spans="1:13" x14ac:dyDescent="0.25">
      <c r="A85" s="20" t="s">
        <v>44</v>
      </c>
      <c r="B85" s="25">
        <f t="shared" ref="B85:K85" si="29">+B56+B68+B70+B73+B77+B84</f>
        <v>104936112.92999999</v>
      </c>
      <c r="C85" s="25">
        <f t="shared" si="29"/>
        <v>31581441.700000003</v>
      </c>
      <c r="D85" s="25">
        <f t="shared" si="29"/>
        <v>191349.32</v>
      </c>
      <c r="E85" s="25">
        <f t="shared" si="29"/>
        <v>27923468.280000001</v>
      </c>
      <c r="F85" s="25">
        <f t="shared" si="29"/>
        <v>5.1248144041110253</v>
      </c>
      <c r="G85" s="25">
        <f t="shared" si="29"/>
        <v>4599549.5500000007</v>
      </c>
      <c r="H85" s="25">
        <f t="shared" si="29"/>
        <v>5442768.7199999997</v>
      </c>
      <c r="I85" s="25">
        <f t="shared" si="29"/>
        <v>2802781.26</v>
      </c>
      <c r="J85" s="25">
        <f t="shared" si="29"/>
        <v>3646485.2</v>
      </c>
      <c r="K85" s="25">
        <f t="shared" si="29"/>
        <v>4599064.78</v>
      </c>
      <c r="L85" s="27"/>
    </row>
    <row r="86" spans="1:13" x14ac:dyDescent="0.25">
      <c r="A86" s="28"/>
      <c r="B86" s="29"/>
      <c r="C86" s="29"/>
      <c r="D86" s="29"/>
      <c r="E86" s="28"/>
      <c r="F86" s="28"/>
      <c r="G86" s="28"/>
      <c r="H86" s="28"/>
      <c r="I86" s="28"/>
      <c r="J86" s="28"/>
      <c r="K86" s="28"/>
      <c r="L86" s="30"/>
    </row>
    <row r="87" spans="1:13" x14ac:dyDescent="0.25">
      <c r="A87" s="140"/>
      <c r="B87" s="19"/>
      <c r="C87" s="333" t="s">
        <v>45</v>
      </c>
      <c r="D87" s="333"/>
      <c r="E87" s="333"/>
      <c r="F87" s="333"/>
      <c r="G87" s="333"/>
      <c r="H87" s="333"/>
      <c r="I87" s="333"/>
      <c r="J87" s="19"/>
      <c r="K87" s="19"/>
      <c r="L87" s="19"/>
    </row>
    <row r="88" spans="1:13" x14ac:dyDescent="0.25">
      <c r="A88" s="140"/>
      <c r="B88" s="19"/>
      <c r="C88" s="255"/>
      <c r="D88" s="255"/>
      <c r="E88" s="255"/>
      <c r="F88" s="255"/>
      <c r="G88" s="255"/>
      <c r="H88" s="255"/>
      <c r="I88" s="255"/>
      <c r="J88" s="19"/>
      <c r="K88" s="19"/>
      <c r="L88" s="19"/>
    </row>
    <row r="89" spans="1:13" x14ac:dyDescent="0.25">
      <c r="A89" s="140"/>
      <c r="B89" s="325" t="s">
        <v>46</v>
      </c>
      <c r="C89" s="325"/>
      <c r="D89" s="326" t="s">
        <v>47</v>
      </c>
      <c r="E89" s="327"/>
      <c r="F89" s="328"/>
      <c r="G89" s="320" t="s">
        <v>48</v>
      </c>
      <c r="H89" s="320"/>
      <c r="I89" s="253" t="s">
        <v>10</v>
      </c>
      <c r="J89" s="19"/>
      <c r="K89" s="19"/>
      <c r="L89" s="19"/>
    </row>
    <row r="90" spans="1:13" x14ac:dyDescent="0.25">
      <c r="A90" s="140"/>
      <c r="B90" s="329" t="s">
        <v>49</v>
      </c>
      <c r="C90" s="329"/>
      <c r="D90" s="330">
        <v>9000000</v>
      </c>
      <c r="E90" s="331"/>
      <c r="F90" s="332">
        <v>0</v>
      </c>
      <c r="G90" s="330">
        <v>0</v>
      </c>
      <c r="H90" s="332"/>
      <c r="I90" s="33">
        <f>G90/D90</f>
        <v>0</v>
      </c>
      <c r="J90" s="19"/>
      <c r="K90" s="19"/>
      <c r="L90" s="19"/>
    </row>
    <row r="91" spans="1:13" x14ac:dyDescent="0.25">
      <c r="A91" s="140"/>
      <c r="B91" s="320"/>
      <c r="C91" s="320"/>
      <c r="D91" s="321"/>
      <c r="E91" s="322"/>
      <c r="F91" s="323"/>
      <c r="G91" s="324"/>
      <c r="H91" s="324"/>
      <c r="I91" s="254"/>
      <c r="J91" s="19"/>
      <c r="K91" s="19"/>
      <c r="L91" s="19"/>
    </row>
    <row r="92" spans="1:13" x14ac:dyDescent="0.25">
      <c r="A92" s="140"/>
      <c r="B92" s="320"/>
      <c r="C92" s="320"/>
      <c r="D92" s="321"/>
      <c r="E92" s="322"/>
      <c r="F92" s="323"/>
      <c r="G92" s="324"/>
      <c r="H92" s="324"/>
      <c r="I92" s="254"/>
      <c r="J92" s="19"/>
      <c r="K92" s="19"/>
      <c r="L92" s="19"/>
    </row>
    <row r="93" spans="1:13" x14ac:dyDescent="0.25">
      <c r="A93" s="140"/>
      <c r="B93" s="320"/>
      <c r="C93" s="320"/>
      <c r="D93" s="321"/>
      <c r="E93" s="322"/>
      <c r="F93" s="323"/>
      <c r="G93" s="324"/>
      <c r="H93" s="324"/>
      <c r="I93" s="254"/>
      <c r="J93" s="19"/>
      <c r="K93" s="19"/>
      <c r="L93" s="19"/>
    </row>
    <row r="94" spans="1:13" x14ac:dyDescent="0.25">
      <c r="A94" s="35" t="s">
        <v>50</v>
      </c>
      <c r="B94" s="36"/>
      <c r="C94" s="36"/>
      <c r="D94" s="36"/>
      <c r="E94" s="36"/>
      <c r="F94" s="36"/>
      <c r="G94" s="37"/>
      <c r="H94" s="37"/>
      <c r="I94" s="38"/>
      <c r="J94" s="19"/>
      <c r="K94" s="19"/>
      <c r="L94" s="19"/>
    </row>
    <row r="96" spans="1:13" x14ac:dyDescent="0.25">
      <c r="C96" s="342" t="s">
        <v>125</v>
      </c>
      <c r="D96" s="342"/>
      <c r="I96" s="342" t="s">
        <v>128</v>
      </c>
      <c r="J96" s="342"/>
    </row>
    <row r="99" spans="3:10" x14ac:dyDescent="0.25">
      <c r="C99" s="342" t="s">
        <v>126</v>
      </c>
      <c r="D99" s="342"/>
      <c r="I99" s="342" t="s">
        <v>129</v>
      </c>
      <c r="J99" s="342"/>
    </row>
    <row r="100" spans="3:10" x14ac:dyDescent="0.25">
      <c r="C100" s="342" t="s">
        <v>127</v>
      </c>
      <c r="D100" s="342"/>
      <c r="I100" s="342" t="s">
        <v>130</v>
      </c>
      <c r="J100" s="342"/>
    </row>
  </sheetData>
  <mergeCells count="39">
    <mergeCell ref="A1:L1"/>
    <mergeCell ref="A3:L3"/>
    <mergeCell ref="A6:L6"/>
    <mergeCell ref="A7:L7"/>
    <mergeCell ref="C8:G8"/>
    <mergeCell ref="H8:K8"/>
    <mergeCell ref="A9:A10"/>
    <mergeCell ref="B9:B10"/>
    <mergeCell ref="C9:C10"/>
    <mergeCell ref="D9:D10"/>
    <mergeCell ref="E9:E10"/>
    <mergeCell ref="J9:J10"/>
    <mergeCell ref="K9:K10"/>
    <mergeCell ref="B89:C89"/>
    <mergeCell ref="D89:F89"/>
    <mergeCell ref="G89:H89"/>
    <mergeCell ref="C87:I87"/>
    <mergeCell ref="F9:F10"/>
    <mergeCell ref="G9:G10"/>
    <mergeCell ref="H9:H10"/>
    <mergeCell ref="I9:I10"/>
    <mergeCell ref="B90:C90"/>
    <mergeCell ref="D90:F90"/>
    <mergeCell ref="G90:H90"/>
    <mergeCell ref="B91:C91"/>
    <mergeCell ref="D91:F91"/>
    <mergeCell ref="G91:H91"/>
    <mergeCell ref="B92:C92"/>
    <mergeCell ref="D92:F92"/>
    <mergeCell ref="G92:H92"/>
    <mergeCell ref="C100:D100"/>
    <mergeCell ref="I100:J100"/>
    <mergeCell ref="B93:C93"/>
    <mergeCell ref="D93:F93"/>
    <mergeCell ref="G93:H93"/>
    <mergeCell ref="C96:D96"/>
    <mergeCell ref="I96:J96"/>
    <mergeCell ref="C99:D99"/>
    <mergeCell ref="I99:J99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100"/>
  <sheetViews>
    <sheetView topLeftCell="A4" workbookViewId="0">
      <selection activeCell="M8" sqref="M8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24.28515625" style="165" customWidth="1"/>
    <col min="14" max="14" width="16.5703125" style="186" customWidth="1"/>
    <col min="15" max="16" width="16.5703125" style="141"/>
    <col min="17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6" x14ac:dyDescent="0.25">
      <c r="A1" s="334" t="s">
        <v>146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6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334" t="s">
        <v>147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6" x14ac:dyDescent="0.25">
      <c r="A4" s="3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6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</row>
    <row r="6" spans="1:16" x14ac:dyDescent="0.25">
      <c r="A6" s="334" t="s">
        <v>146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6" x14ac:dyDescent="0.25">
      <c r="A7" s="334" t="s">
        <v>145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6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</row>
    <row r="9" spans="1:16" s="17" customForma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166"/>
      <c r="N9" s="187"/>
      <c r="O9" s="142"/>
      <c r="P9" s="142"/>
    </row>
    <row r="10" spans="1:16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O10" s="151"/>
    </row>
    <row r="11" spans="1:16" s="17" customFormat="1" x14ac:dyDescent="0.25">
      <c r="A11" s="139" t="s">
        <v>18</v>
      </c>
      <c r="B11" s="14">
        <v>12913787.119999999</v>
      </c>
      <c r="C11" s="201">
        <f>3474437.99+233556.28</f>
        <v>3707994.27</v>
      </c>
      <c r="D11" s="11">
        <v>0</v>
      </c>
      <c r="E11" s="201">
        <v>1893024.88</v>
      </c>
      <c r="F11" s="14">
        <f>+E11/C11</f>
        <v>0.5105252980879067</v>
      </c>
      <c r="G11" s="251">
        <f>+C11+D11-E11</f>
        <v>1814969.3900000001</v>
      </c>
      <c r="H11" s="11">
        <f>39600+1555614.39+5000</f>
        <v>1600214.39</v>
      </c>
      <c r="I11" s="14">
        <f>55000+23497</f>
        <v>78497</v>
      </c>
      <c r="J11" s="14">
        <f>4420+68114</f>
        <v>72534</v>
      </c>
      <c r="K11" s="14">
        <f>H11+I11-J11</f>
        <v>1606177.39</v>
      </c>
      <c r="L11" s="15">
        <f>+F11</f>
        <v>0.5105252980879067</v>
      </c>
      <c r="M11" s="62">
        <f t="shared" ref="M11:M23" si="0">+K11-G11</f>
        <v>-208792.00000000023</v>
      </c>
      <c r="N11" s="114"/>
      <c r="O11" s="153"/>
      <c r="P11" s="142"/>
    </row>
    <row r="12" spans="1:16" x14ac:dyDescent="0.2">
      <c r="A12" s="139" t="s">
        <v>20</v>
      </c>
      <c r="B12" s="14">
        <v>30330208</v>
      </c>
      <c r="C12" s="261">
        <v>4726866.29</v>
      </c>
      <c r="D12" s="11">
        <v>0</v>
      </c>
      <c r="E12" s="201">
        <v>3441267.61</v>
      </c>
      <c r="F12" s="14">
        <f t="shared" ref="F12:F17" si="1">+E12/C12</f>
        <v>0.72802304928324935</v>
      </c>
      <c r="G12" s="251">
        <f t="shared" ref="G12:G23" si="2">+C12+D12-E12</f>
        <v>1285598.6800000002</v>
      </c>
      <c r="H12" s="11">
        <f>40000+1493596.22</f>
        <v>1533596.22</v>
      </c>
      <c r="I12" s="14">
        <v>-1000</v>
      </c>
      <c r="J12" s="14">
        <f>128250+454007</f>
        <v>582257</v>
      </c>
      <c r="K12" s="14">
        <f t="shared" ref="K12:K21" si="3">H12+I12-J12</f>
        <v>950339.22</v>
      </c>
      <c r="L12" s="15">
        <f t="shared" ref="L12:L23" si="4">+F12</f>
        <v>0.72802304928324935</v>
      </c>
      <c r="M12" s="62">
        <f t="shared" si="0"/>
        <v>-335259.4600000002</v>
      </c>
      <c r="N12" s="189"/>
      <c r="O12" s="151"/>
    </row>
    <row r="13" spans="1:16" x14ac:dyDescent="0.2">
      <c r="A13" s="139" t="s">
        <v>21</v>
      </c>
      <c r="B13" s="14">
        <v>281207</v>
      </c>
      <c r="C13" s="261">
        <v>66874.179999999993</v>
      </c>
      <c r="D13" s="11">
        <v>0</v>
      </c>
      <c r="E13" s="261">
        <v>0</v>
      </c>
      <c r="F13" s="14">
        <f t="shared" si="1"/>
        <v>0</v>
      </c>
      <c r="G13" s="251">
        <f t="shared" si="2"/>
        <v>66874.179999999993</v>
      </c>
      <c r="H13" s="11">
        <v>38190.910000000003</v>
      </c>
      <c r="I13" s="14">
        <v>0</v>
      </c>
      <c r="J13" s="14">
        <v>5000</v>
      </c>
      <c r="K13" s="14">
        <f t="shared" si="3"/>
        <v>33190.910000000003</v>
      </c>
      <c r="L13" s="15">
        <f t="shared" si="4"/>
        <v>0</v>
      </c>
      <c r="M13" s="62">
        <f t="shared" si="0"/>
        <v>-33683.26999999999</v>
      </c>
      <c r="N13" s="116"/>
    </row>
    <row r="14" spans="1:16" x14ac:dyDescent="0.2">
      <c r="A14" s="139" t="s">
        <v>22</v>
      </c>
      <c r="B14" s="14">
        <v>573761</v>
      </c>
      <c r="C14" s="261">
        <v>116561.23</v>
      </c>
      <c r="D14" s="11">
        <v>0</v>
      </c>
      <c r="E14" s="261">
        <v>0</v>
      </c>
      <c r="F14" s="14">
        <f t="shared" si="1"/>
        <v>0</v>
      </c>
      <c r="G14" s="251">
        <f t="shared" si="2"/>
        <v>116561.23</v>
      </c>
      <c r="H14" s="11">
        <v>47411.46</v>
      </c>
      <c r="I14" s="14">
        <v>0</v>
      </c>
      <c r="J14" s="14">
        <v>5000</v>
      </c>
      <c r="K14" s="14">
        <f t="shared" si="3"/>
        <v>42411.46</v>
      </c>
      <c r="L14" s="15">
        <f t="shared" si="4"/>
        <v>0</v>
      </c>
      <c r="M14" s="62">
        <f t="shared" si="0"/>
        <v>-74149.76999999999</v>
      </c>
      <c r="N14" s="116"/>
    </row>
    <row r="15" spans="1:16" x14ac:dyDescent="0.2">
      <c r="A15" s="139" t="s">
        <v>23</v>
      </c>
      <c r="B15" s="14">
        <v>1398350</v>
      </c>
      <c r="C15" s="261">
        <v>182941.68</v>
      </c>
      <c r="D15" s="11">
        <v>0</v>
      </c>
      <c r="E15" s="261">
        <v>0</v>
      </c>
      <c r="F15" s="14">
        <f t="shared" si="1"/>
        <v>0</v>
      </c>
      <c r="G15" s="251">
        <f t="shared" si="2"/>
        <v>182941.68</v>
      </c>
      <c r="H15" s="11">
        <v>95415.25</v>
      </c>
      <c r="I15" s="14">
        <v>0</v>
      </c>
      <c r="J15" s="14">
        <v>5000</v>
      </c>
      <c r="K15" s="14">
        <f t="shared" si="3"/>
        <v>90415.25</v>
      </c>
      <c r="L15" s="15">
        <f t="shared" si="4"/>
        <v>0</v>
      </c>
      <c r="M15" s="62">
        <f t="shared" si="0"/>
        <v>-92526.43</v>
      </c>
      <c r="N15" s="190"/>
    </row>
    <row r="16" spans="1:16" x14ac:dyDescent="0.2">
      <c r="A16" s="139" t="s">
        <v>24</v>
      </c>
      <c r="B16" s="14">
        <v>14692367</v>
      </c>
      <c r="C16" s="261">
        <v>2679442.46</v>
      </c>
      <c r="D16" s="11">
        <v>0</v>
      </c>
      <c r="E16" s="201">
        <v>2445083.75</v>
      </c>
      <c r="F16" s="14">
        <f t="shared" si="1"/>
        <v>0.91253452406662239</v>
      </c>
      <c r="G16" s="251">
        <f t="shared" si="2"/>
        <v>234358.70999999996</v>
      </c>
      <c r="H16" s="11">
        <v>807548.75</v>
      </c>
      <c r="I16" s="14">
        <v>0</v>
      </c>
      <c r="J16" s="14">
        <f>61927+469103</f>
        <v>531030</v>
      </c>
      <c r="K16" s="14">
        <f t="shared" si="3"/>
        <v>276518.75</v>
      </c>
      <c r="L16" s="15">
        <f t="shared" si="4"/>
        <v>0.91253452406662239</v>
      </c>
      <c r="M16" s="62">
        <f t="shared" si="0"/>
        <v>42160.040000000037</v>
      </c>
      <c r="N16" s="190"/>
      <c r="O16" s="151"/>
    </row>
    <row r="17" spans="1:18" x14ac:dyDescent="0.2">
      <c r="A17" s="139" t="s">
        <v>25</v>
      </c>
      <c r="B17" s="14">
        <v>1397810.64</v>
      </c>
      <c r="C17" s="261">
        <v>205652.5</v>
      </c>
      <c r="D17" s="11">
        <v>0</v>
      </c>
      <c r="E17" s="201">
        <v>39362.57</v>
      </c>
      <c r="F17" s="14">
        <f t="shared" si="1"/>
        <v>0.19140331384252562</v>
      </c>
      <c r="G17" s="251">
        <f t="shared" si="2"/>
        <v>166289.93</v>
      </c>
      <c r="H17" s="11">
        <v>55909.53</v>
      </c>
      <c r="I17" s="14">
        <v>0</v>
      </c>
      <c r="J17" s="14">
        <v>5000</v>
      </c>
      <c r="K17" s="14">
        <f t="shared" si="3"/>
        <v>50909.53</v>
      </c>
      <c r="L17" s="15">
        <f t="shared" si="4"/>
        <v>0.19140331384252562</v>
      </c>
      <c r="M17" s="107">
        <f t="shared" si="0"/>
        <v>-115380.4</v>
      </c>
      <c r="N17" s="190"/>
    </row>
    <row r="18" spans="1:18" x14ac:dyDescent="0.2">
      <c r="A18" s="139" t="s">
        <v>53</v>
      </c>
      <c r="B18" s="14">
        <v>887363.87</v>
      </c>
      <c r="C18" s="261">
        <v>46.93</v>
      </c>
      <c r="D18" s="11">
        <v>0</v>
      </c>
      <c r="E18" s="261">
        <v>0</v>
      </c>
      <c r="F18" s="14">
        <v>0</v>
      </c>
      <c r="G18" s="251">
        <f t="shared" si="2"/>
        <v>46.93</v>
      </c>
      <c r="H18" s="11">
        <v>5000</v>
      </c>
      <c r="I18" s="14">
        <v>0</v>
      </c>
      <c r="J18" s="14">
        <v>5000</v>
      </c>
      <c r="K18" s="14">
        <f t="shared" si="3"/>
        <v>0</v>
      </c>
      <c r="L18" s="15">
        <f t="shared" si="4"/>
        <v>0</v>
      </c>
      <c r="M18" s="107">
        <f t="shared" si="0"/>
        <v>-46.93</v>
      </c>
      <c r="N18" s="190"/>
    </row>
    <row r="19" spans="1:18" x14ac:dyDescent="0.2">
      <c r="A19" s="139" t="s">
        <v>27</v>
      </c>
      <c r="B19" s="14">
        <f>+C19</f>
        <v>0</v>
      </c>
      <c r="C19" s="261">
        <v>0</v>
      </c>
      <c r="D19" s="11">
        <v>0</v>
      </c>
      <c r="E19" s="261">
        <v>0</v>
      </c>
      <c r="F19" s="14">
        <v>0</v>
      </c>
      <c r="G19" s="251">
        <f t="shared" si="2"/>
        <v>0</v>
      </c>
      <c r="H19" s="11">
        <v>0</v>
      </c>
      <c r="I19" s="14">
        <v>0</v>
      </c>
      <c r="J19" s="14">
        <v>0</v>
      </c>
      <c r="K19" s="14">
        <f t="shared" si="3"/>
        <v>0</v>
      </c>
      <c r="L19" s="15">
        <f t="shared" si="4"/>
        <v>0</v>
      </c>
      <c r="M19" s="107">
        <f t="shared" si="0"/>
        <v>0</v>
      </c>
      <c r="N19" s="190"/>
    </row>
    <row r="20" spans="1:18" x14ac:dyDescent="0.2">
      <c r="A20" s="139" t="s">
        <v>28</v>
      </c>
      <c r="B20" s="14">
        <v>55010.61</v>
      </c>
      <c r="C20" s="261">
        <v>8997.89</v>
      </c>
      <c r="D20" s="11">
        <v>0</v>
      </c>
      <c r="E20" s="261">
        <v>0</v>
      </c>
      <c r="F20" s="14">
        <v>0</v>
      </c>
      <c r="G20" s="251">
        <f t="shared" si="2"/>
        <v>8997.89</v>
      </c>
      <c r="H20" s="11">
        <v>9496.84</v>
      </c>
      <c r="I20" s="14">
        <v>0</v>
      </c>
      <c r="J20" s="14">
        <v>5000</v>
      </c>
      <c r="K20" s="14">
        <f t="shared" si="3"/>
        <v>4496.84</v>
      </c>
      <c r="L20" s="15">
        <f t="shared" si="4"/>
        <v>0</v>
      </c>
      <c r="M20" s="107">
        <f t="shared" si="0"/>
        <v>-4501.0499999999993</v>
      </c>
      <c r="N20" s="152"/>
    </row>
    <row r="21" spans="1:18" ht="27" x14ac:dyDescent="0.2">
      <c r="A21" s="139" t="s">
        <v>136</v>
      </c>
      <c r="B21" s="14">
        <v>0</v>
      </c>
      <c r="C21" s="261">
        <v>0</v>
      </c>
      <c r="D21" s="11">
        <v>0</v>
      </c>
      <c r="E21" s="261">
        <v>0</v>
      </c>
      <c r="F21" s="14"/>
      <c r="G21" s="251">
        <f t="shared" si="2"/>
        <v>0</v>
      </c>
      <c r="H21" s="11">
        <v>5000</v>
      </c>
      <c r="I21" s="14">
        <v>0</v>
      </c>
      <c r="J21" s="14">
        <v>5000</v>
      </c>
      <c r="K21" s="14">
        <f t="shared" si="3"/>
        <v>0</v>
      </c>
      <c r="L21" s="15">
        <f t="shared" si="4"/>
        <v>0</v>
      </c>
      <c r="M21" s="107">
        <f t="shared" si="0"/>
        <v>0</v>
      </c>
      <c r="N21" s="152"/>
    </row>
    <row r="22" spans="1:18" x14ac:dyDescent="0.2">
      <c r="A22" s="139" t="s">
        <v>29</v>
      </c>
      <c r="B22" s="14">
        <v>29358059</v>
      </c>
      <c r="C22" s="261">
        <v>6511021.2999999998</v>
      </c>
      <c r="D22" s="11">
        <v>0</v>
      </c>
      <c r="E22" s="261">
        <v>0</v>
      </c>
      <c r="F22" s="14">
        <f>+E22/C22</f>
        <v>0</v>
      </c>
      <c r="G22" s="251">
        <f t="shared" si="2"/>
        <v>6511021.2999999998</v>
      </c>
      <c r="H22" s="11">
        <v>3260506.9</v>
      </c>
      <c r="I22" s="14">
        <v>0</v>
      </c>
      <c r="J22" s="14">
        <v>5000</v>
      </c>
      <c r="K22" s="14">
        <f>H22+I22-J22</f>
        <v>3255506.9</v>
      </c>
      <c r="L22" s="15">
        <f t="shared" si="4"/>
        <v>0</v>
      </c>
      <c r="M22" s="107">
        <f t="shared" si="0"/>
        <v>-3255514.4</v>
      </c>
      <c r="N22" s="152"/>
    </row>
    <row r="23" spans="1:18" x14ac:dyDescent="0.2">
      <c r="A23" s="139" t="s">
        <v>30</v>
      </c>
      <c r="B23" s="14">
        <v>22883119</v>
      </c>
      <c r="C23" s="261">
        <v>4359855.78</v>
      </c>
      <c r="D23" s="11">
        <v>0</v>
      </c>
      <c r="E23" s="201">
        <v>3061864.83</v>
      </c>
      <c r="F23" s="14">
        <f>+E23/C23</f>
        <v>0.7022858058850745</v>
      </c>
      <c r="G23" s="251">
        <f t="shared" si="2"/>
        <v>1297990.9500000002</v>
      </c>
      <c r="H23" s="11">
        <v>1373175.92</v>
      </c>
      <c r="I23" s="14">
        <v>0</v>
      </c>
      <c r="J23" s="14">
        <f>19472+491778</f>
        <v>511250</v>
      </c>
      <c r="K23" s="14">
        <f>H23+I23-J23</f>
        <v>861925.91999999993</v>
      </c>
      <c r="L23" s="15">
        <f t="shared" si="4"/>
        <v>0.7022858058850745</v>
      </c>
      <c r="M23" s="107">
        <f t="shared" si="0"/>
        <v>-436065.03000000026</v>
      </c>
      <c r="N23" s="157"/>
      <c r="Q23" s="141"/>
      <c r="R23" s="144"/>
    </row>
    <row r="24" spans="1:18" s="5" customFormat="1" x14ac:dyDescent="0.2">
      <c r="A24" s="248" t="s">
        <v>144</v>
      </c>
      <c r="B24" s="21">
        <f t="shared" ref="B24:K24" si="5">SUM(B11:B23)</f>
        <v>114771043.23999999</v>
      </c>
      <c r="C24" s="21">
        <f t="shared" si="5"/>
        <v>22566254.510000002</v>
      </c>
      <c r="D24" s="21">
        <f t="shared" si="5"/>
        <v>0</v>
      </c>
      <c r="E24" s="21">
        <f t="shared" si="5"/>
        <v>10880603.640000001</v>
      </c>
      <c r="F24" s="249">
        <f t="shared" si="5"/>
        <v>3.0447719911653786</v>
      </c>
      <c r="G24" s="249">
        <f t="shared" si="5"/>
        <v>11685650.870000001</v>
      </c>
      <c r="H24" s="249">
        <f t="shared" si="5"/>
        <v>8831466.1699999999</v>
      </c>
      <c r="I24" s="249">
        <f t="shared" si="5"/>
        <v>77497</v>
      </c>
      <c r="J24" s="249">
        <f t="shared" si="5"/>
        <v>1737071</v>
      </c>
      <c r="K24" s="249">
        <f t="shared" si="5"/>
        <v>7171892.1699999999</v>
      </c>
      <c r="L24" s="252"/>
      <c r="M24" s="118">
        <f>SUM(M11:M23)</f>
        <v>-4513758.7000000011</v>
      </c>
      <c r="N24" s="204"/>
      <c r="O24" s="143"/>
      <c r="P24" s="143"/>
    </row>
    <row r="25" spans="1:18" s="17" customFormat="1" x14ac:dyDescent="0.25">
      <c r="A25" s="139" t="s">
        <v>18</v>
      </c>
      <c r="B25" s="14">
        <f>10999097.88+238908.65</f>
        <v>11238006.530000001</v>
      </c>
      <c r="C25" s="14">
        <f>10999097.88+238908.65</f>
        <v>11238006.530000001</v>
      </c>
      <c r="D25" s="11">
        <v>0</v>
      </c>
      <c r="E25" s="14">
        <v>11056143.380000001</v>
      </c>
      <c r="F25" s="14">
        <f>+E25/C25</f>
        <v>0.98381713433654672</v>
      </c>
      <c r="G25" s="251">
        <f>+C25+D25-E25</f>
        <v>181863.15000000037</v>
      </c>
      <c r="H25" s="11">
        <f>178606.93+5000</f>
        <v>183606.93</v>
      </c>
      <c r="I25" s="14">
        <f>127254.42+10000</f>
        <v>137254.41999999998</v>
      </c>
      <c r="J25" s="14">
        <f>21634+117364.2</f>
        <v>138998.20000000001</v>
      </c>
      <c r="K25" s="14">
        <f>H25+I25-J25</f>
        <v>181863.14999999997</v>
      </c>
      <c r="L25" s="15">
        <f>+F25</f>
        <v>0.98381713433654672</v>
      </c>
      <c r="M25" s="62">
        <f t="shared" ref="M25:M40" si="6">+K25-G25</f>
        <v>-4.0745362639427185E-10</v>
      </c>
      <c r="N25" s="114"/>
      <c r="O25" s="153"/>
      <c r="P25" s="142"/>
    </row>
    <row r="26" spans="1:18" x14ac:dyDescent="0.2">
      <c r="A26" s="139" t="s">
        <v>20</v>
      </c>
      <c r="B26" s="11">
        <v>32201284.170000002</v>
      </c>
      <c r="C26" s="11">
        <v>32201284.170000002</v>
      </c>
      <c r="D26" s="11">
        <v>0</v>
      </c>
      <c r="E26" s="14">
        <v>32201284.170000002</v>
      </c>
      <c r="F26" s="14">
        <f t="shared" ref="F26:F31" si="7">+E26/C26</f>
        <v>1</v>
      </c>
      <c r="G26" s="251">
        <f t="shared" ref="G26:G40" si="8">+C26+D26-E26</f>
        <v>0</v>
      </c>
      <c r="H26" s="11">
        <f>0+1626333.07</f>
        <v>1626333.07</v>
      </c>
      <c r="I26" s="14">
        <f>50868+4200</f>
        <v>55068</v>
      </c>
      <c r="J26" s="14">
        <f>1441899+62764+176738.07</f>
        <v>1681401.07</v>
      </c>
      <c r="K26" s="14">
        <f t="shared" ref="K26:K35" si="9">H26+I26-J26</f>
        <v>0</v>
      </c>
      <c r="L26" s="15">
        <f t="shared" ref="L26:L37" si="10">+F26</f>
        <v>1</v>
      </c>
      <c r="M26" s="250">
        <f t="shared" si="6"/>
        <v>0</v>
      </c>
      <c r="N26" s="189"/>
      <c r="O26" s="151"/>
    </row>
    <row r="27" spans="1:18" x14ac:dyDescent="0.2">
      <c r="A27" s="139" t="s">
        <v>21</v>
      </c>
      <c r="B27" s="11">
        <v>375916.69</v>
      </c>
      <c r="C27" s="11">
        <v>375916.69</v>
      </c>
      <c r="D27" s="11">
        <v>0</v>
      </c>
      <c r="E27" s="11">
        <v>364122.38</v>
      </c>
      <c r="F27" s="14">
        <f t="shared" si="7"/>
        <v>0.9686252025681541</v>
      </c>
      <c r="G27" s="251">
        <f t="shared" si="8"/>
        <v>11794.309999999998</v>
      </c>
      <c r="H27" s="11">
        <v>11794.31</v>
      </c>
      <c r="I27" s="14">
        <v>0</v>
      </c>
      <c r="J27" s="14">
        <v>0</v>
      </c>
      <c r="K27" s="14">
        <f t="shared" si="9"/>
        <v>11794.31</v>
      </c>
      <c r="L27" s="15">
        <f t="shared" si="10"/>
        <v>0.9686252025681541</v>
      </c>
      <c r="M27" s="236">
        <f t="shared" si="6"/>
        <v>0</v>
      </c>
      <c r="N27" s="116"/>
    </row>
    <row r="28" spans="1:18" x14ac:dyDescent="0.2">
      <c r="A28" s="139" t="s">
        <v>22</v>
      </c>
      <c r="B28" s="11">
        <v>553292.86</v>
      </c>
      <c r="C28" s="11">
        <v>553292.86</v>
      </c>
      <c r="D28" s="11">
        <v>0</v>
      </c>
      <c r="E28" s="11">
        <v>549193.92000000004</v>
      </c>
      <c r="F28" s="14">
        <f t="shared" si="7"/>
        <v>0.99259173523403155</v>
      </c>
      <c r="G28" s="251">
        <f t="shared" si="8"/>
        <v>4098.9399999999441</v>
      </c>
      <c r="H28" s="11">
        <v>4098.9399999999996</v>
      </c>
      <c r="I28" s="14">
        <v>0</v>
      </c>
      <c r="J28" s="14">
        <v>0</v>
      </c>
      <c r="K28" s="14">
        <f t="shared" si="9"/>
        <v>4098.9399999999996</v>
      </c>
      <c r="L28" s="15">
        <f t="shared" si="10"/>
        <v>0.99259173523403155</v>
      </c>
      <c r="M28" s="236">
        <f t="shared" si="6"/>
        <v>5.5479176808148623E-11</v>
      </c>
      <c r="N28" s="116"/>
    </row>
    <row r="29" spans="1:18" x14ac:dyDescent="0.2">
      <c r="A29" s="139" t="s">
        <v>23</v>
      </c>
      <c r="B29" s="11">
        <v>1287364.3999999999</v>
      </c>
      <c r="C29" s="11">
        <v>1287364.3999999999</v>
      </c>
      <c r="D29" s="11">
        <v>0</v>
      </c>
      <c r="E29" s="11">
        <v>1286941.03</v>
      </c>
      <c r="F29" s="14">
        <f t="shared" si="7"/>
        <v>0.99967113429577525</v>
      </c>
      <c r="G29" s="251">
        <f t="shared" si="8"/>
        <v>423.36999999987893</v>
      </c>
      <c r="H29" s="11">
        <v>423.37</v>
      </c>
      <c r="I29" s="14">
        <v>0</v>
      </c>
      <c r="J29" s="14">
        <v>0</v>
      </c>
      <c r="K29" s="14">
        <f t="shared" si="9"/>
        <v>423.37</v>
      </c>
      <c r="L29" s="15">
        <f t="shared" si="10"/>
        <v>0.99967113429577525</v>
      </c>
      <c r="M29" s="236">
        <f t="shared" si="6"/>
        <v>1.2107648217352107E-10</v>
      </c>
      <c r="N29" s="190"/>
    </row>
    <row r="30" spans="1:18" x14ac:dyDescent="0.2">
      <c r="A30" s="139" t="s">
        <v>24</v>
      </c>
      <c r="B30" s="11">
        <v>15340178.58</v>
      </c>
      <c r="C30" s="11">
        <v>15340178.58</v>
      </c>
      <c r="D30" s="11">
        <v>0</v>
      </c>
      <c r="E30" s="14">
        <f>15320249.52</f>
        <v>15320249.52</v>
      </c>
      <c r="F30" s="14">
        <f t="shared" si="7"/>
        <v>0.99870085867018632</v>
      </c>
      <c r="G30" s="251">
        <f t="shared" si="8"/>
        <v>19929.060000000522</v>
      </c>
      <c r="H30" s="11">
        <v>501651.06</v>
      </c>
      <c r="I30" s="14">
        <v>0</v>
      </c>
      <c r="J30" s="14">
        <f>419314+2000+60408</f>
        <v>481722</v>
      </c>
      <c r="K30" s="14">
        <f t="shared" si="9"/>
        <v>19929.059999999998</v>
      </c>
      <c r="L30" s="15">
        <f t="shared" si="10"/>
        <v>0.99870085867018632</v>
      </c>
      <c r="M30" s="62">
        <f t="shared" si="6"/>
        <v>-5.2386894822120667E-10</v>
      </c>
      <c r="N30" s="190"/>
      <c r="O30" s="151"/>
    </row>
    <row r="31" spans="1:18" x14ac:dyDescent="0.2">
      <c r="A31" s="139" t="s">
        <v>25</v>
      </c>
      <c r="B31" s="11">
        <v>1461552.81</v>
      </c>
      <c r="C31" s="11">
        <v>1461552.81</v>
      </c>
      <c r="D31" s="11">
        <v>0</v>
      </c>
      <c r="E31" s="14">
        <v>1315379.46</v>
      </c>
      <c r="F31" s="14">
        <f t="shared" si="7"/>
        <v>0.89998763712137086</v>
      </c>
      <c r="G31" s="251">
        <f t="shared" si="8"/>
        <v>146173.35000000009</v>
      </c>
      <c r="H31" s="11">
        <v>146173.35</v>
      </c>
      <c r="I31" s="14">
        <v>0</v>
      </c>
      <c r="J31" s="14">
        <v>0</v>
      </c>
      <c r="K31" s="14">
        <f t="shared" si="9"/>
        <v>146173.35</v>
      </c>
      <c r="L31" s="15">
        <f t="shared" si="10"/>
        <v>0.89998763712137086</v>
      </c>
      <c r="M31" s="236">
        <f t="shared" si="6"/>
        <v>0</v>
      </c>
      <c r="N31" s="190"/>
    </row>
    <row r="32" spans="1:18" x14ac:dyDescent="0.2">
      <c r="A32" s="139" t="s">
        <v>53</v>
      </c>
      <c r="B32" s="11">
        <v>888239.11</v>
      </c>
      <c r="C32" s="11">
        <v>888239.11</v>
      </c>
      <c r="D32" s="11">
        <v>0</v>
      </c>
      <c r="E32" s="11">
        <v>651043.92000000004</v>
      </c>
      <c r="F32" s="14">
        <v>0</v>
      </c>
      <c r="G32" s="251">
        <f t="shared" si="8"/>
        <v>237195.18999999994</v>
      </c>
      <c r="H32" s="11">
        <v>237195.19</v>
      </c>
      <c r="I32" s="14">
        <v>0</v>
      </c>
      <c r="J32" s="14">
        <v>0</v>
      </c>
      <c r="K32" s="14">
        <f t="shared" si="9"/>
        <v>237195.19</v>
      </c>
      <c r="L32" s="15">
        <f t="shared" si="10"/>
        <v>0</v>
      </c>
      <c r="M32" s="236">
        <f t="shared" si="6"/>
        <v>0</v>
      </c>
      <c r="N32" s="190"/>
    </row>
    <row r="33" spans="1:18" x14ac:dyDescent="0.2">
      <c r="A33" s="139" t="s">
        <v>27</v>
      </c>
      <c r="B33" s="11">
        <v>0</v>
      </c>
      <c r="C33" s="11">
        <v>0</v>
      </c>
      <c r="D33" s="11">
        <v>0</v>
      </c>
      <c r="E33" s="11">
        <v>0</v>
      </c>
      <c r="F33" s="14">
        <v>0</v>
      </c>
      <c r="G33" s="251">
        <f t="shared" si="8"/>
        <v>0</v>
      </c>
      <c r="H33" s="11">
        <v>0</v>
      </c>
      <c r="I33" s="14">
        <v>0</v>
      </c>
      <c r="J33" s="14">
        <v>0</v>
      </c>
      <c r="K33" s="14">
        <f t="shared" si="9"/>
        <v>0</v>
      </c>
      <c r="L33" s="15">
        <f t="shared" si="10"/>
        <v>0</v>
      </c>
      <c r="M33" s="236">
        <f t="shared" si="6"/>
        <v>0</v>
      </c>
      <c r="N33" s="190"/>
    </row>
    <row r="34" spans="1:18" x14ac:dyDescent="0.2">
      <c r="A34" s="139" t="s">
        <v>28</v>
      </c>
      <c r="B34" s="11">
        <v>60034.41</v>
      </c>
      <c r="C34" s="11">
        <v>60034.41</v>
      </c>
      <c r="D34" s="11">
        <v>0</v>
      </c>
      <c r="E34" s="11">
        <v>36692.129999999997</v>
      </c>
      <c r="F34" s="14">
        <v>0</v>
      </c>
      <c r="G34" s="251">
        <f t="shared" si="8"/>
        <v>23342.280000000006</v>
      </c>
      <c r="H34" s="11">
        <v>23342.28</v>
      </c>
      <c r="I34" s="14">
        <v>0</v>
      </c>
      <c r="J34" s="14">
        <v>0</v>
      </c>
      <c r="K34" s="14">
        <f t="shared" si="9"/>
        <v>23342.28</v>
      </c>
      <c r="L34" s="15">
        <f t="shared" si="10"/>
        <v>0</v>
      </c>
      <c r="M34" s="236">
        <f t="shared" si="6"/>
        <v>0</v>
      </c>
      <c r="N34" s="152"/>
    </row>
    <row r="35" spans="1:18" ht="27" x14ac:dyDescent="0.2">
      <c r="A35" s="139" t="s">
        <v>136</v>
      </c>
      <c r="B35" s="11">
        <v>2201262.25</v>
      </c>
      <c r="C35" s="11">
        <v>2201262.25</v>
      </c>
      <c r="D35" s="11">
        <v>818.27</v>
      </c>
      <c r="E35" s="11">
        <v>2193712.5099999998</v>
      </c>
      <c r="F35" s="14"/>
      <c r="G35" s="251">
        <f t="shared" si="8"/>
        <v>8368.0100000002421</v>
      </c>
      <c r="H35" s="11">
        <v>8368.01</v>
      </c>
      <c r="I35" s="14">
        <v>0</v>
      </c>
      <c r="J35" s="14">
        <v>0</v>
      </c>
      <c r="K35" s="14">
        <f t="shared" si="9"/>
        <v>8368.01</v>
      </c>
      <c r="L35" s="15">
        <f t="shared" si="10"/>
        <v>0</v>
      </c>
      <c r="M35" s="236">
        <f t="shared" si="6"/>
        <v>-2.4192559067159891E-10</v>
      </c>
      <c r="N35" s="152"/>
    </row>
    <row r="36" spans="1:18" x14ac:dyDescent="0.2">
      <c r="A36" s="139" t="s">
        <v>29</v>
      </c>
      <c r="B36" s="11">
        <v>29358891.780000001</v>
      </c>
      <c r="C36" s="11">
        <v>29358891.780000001</v>
      </c>
      <c r="D36" s="11">
        <v>644200.78</v>
      </c>
      <c r="E36" s="11">
        <v>29358059.32</v>
      </c>
      <c r="F36" s="14">
        <f>+E36/C36</f>
        <v>0.99997164538749495</v>
      </c>
      <c r="G36" s="251">
        <f t="shared" si="8"/>
        <v>645033.24000000209</v>
      </c>
      <c r="H36" s="11">
        <f>27044389.8+0</f>
        <v>27044389.800000001</v>
      </c>
      <c r="I36" s="14">
        <v>2958702.76</v>
      </c>
      <c r="J36" s="14">
        <v>29358059.32</v>
      </c>
      <c r="K36" s="14">
        <f>H36+I36-J36</f>
        <v>645033.24000000209</v>
      </c>
      <c r="L36" s="15">
        <f t="shared" si="10"/>
        <v>0.99997164538749495</v>
      </c>
      <c r="M36" s="236">
        <f t="shared" si="6"/>
        <v>0</v>
      </c>
      <c r="N36" s="152"/>
    </row>
    <row r="37" spans="1:18" x14ac:dyDescent="0.2">
      <c r="A37" s="139" t="s">
        <v>30</v>
      </c>
      <c r="B37" s="11">
        <v>23067538.390000001</v>
      </c>
      <c r="C37" s="11">
        <v>23067538.390000001</v>
      </c>
      <c r="D37" s="11">
        <v>0</v>
      </c>
      <c r="E37" s="14">
        <f>23067538.39-13458.57</f>
        <v>23054079.82</v>
      </c>
      <c r="F37" s="14">
        <f>+E37/C37</f>
        <v>0.99941655803179086</v>
      </c>
      <c r="G37" s="251">
        <f t="shared" si="8"/>
        <v>13458.570000000298</v>
      </c>
      <c r="H37" s="11">
        <v>374090.59</v>
      </c>
      <c r="I37" s="14">
        <f>713.4+45970</f>
        <v>46683.4</v>
      </c>
      <c r="J37" s="14">
        <f>275061+132254.42</f>
        <v>407315.42000000004</v>
      </c>
      <c r="K37" s="14">
        <f>H37+I37-J37</f>
        <v>13458.570000000007</v>
      </c>
      <c r="L37" s="15">
        <f t="shared" si="10"/>
        <v>0.99941655803179086</v>
      </c>
      <c r="M37" s="107">
        <f t="shared" si="6"/>
        <v>-2.9103830456733704E-10</v>
      </c>
      <c r="N37" s="157" t="s">
        <v>52</v>
      </c>
      <c r="Q37" s="141"/>
      <c r="R37" s="144"/>
    </row>
    <row r="38" spans="1:18" x14ac:dyDescent="0.2">
      <c r="A38" s="139" t="s">
        <v>57</v>
      </c>
      <c r="B38" s="11">
        <v>1483495.05</v>
      </c>
      <c r="C38" s="11">
        <v>1483495.05</v>
      </c>
      <c r="D38" s="11">
        <v>4256.42</v>
      </c>
      <c r="E38" s="14">
        <v>1461506.21</v>
      </c>
      <c r="F38" s="14">
        <f>+E38/C38</f>
        <v>0.98517767888743535</v>
      </c>
      <c r="G38" s="251">
        <f t="shared" si="8"/>
        <v>26245.260000000009</v>
      </c>
      <c r="H38" s="11">
        <v>26245.26</v>
      </c>
      <c r="I38" s="14">
        <v>0</v>
      </c>
      <c r="J38" s="14">
        <v>0</v>
      </c>
      <c r="K38" s="14">
        <f>H38+I38-J38</f>
        <v>26245.26</v>
      </c>
      <c r="L38" s="15">
        <f>+F38</f>
        <v>0.98517767888743535</v>
      </c>
      <c r="M38" s="107">
        <f t="shared" si="6"/>
        <v>0</v>
      </c>
      <c r="N38" s="157"/>
      <c r="Q38" s="141"/>
      <c r="R38" s="144"/>
    </row>
    <row r="39" spans="1:18" x14ac:dyDescent="0.2">
      <c r="A39" s="139" t="s">
        <v>139</v>
      </c>
      <c r="B39" s="14">
        <v>1364024.1</v>
      </c>
      <c r="C39" s="14">
        <v>1364024.1</v>
      </c>
      <c r="D39" s="11">
        <f>940.83+935.1+658.75</f>
        <v>2534.6800000000003</v>
      </c>
      <c r="E39" s="14">
        <v>1364018.1</v>
      </c>
      <c r="F39" s="14">
        <f>+E39/C39</f>
        <v>0.99999560125074038</v>
      </c>
      <c r="G39" s="251">
        <f t="shared" si="8"/>
        <v>2540.6799999999348</v>
      </c>
      <c r="H39" s="11">
        <v>957353.35</v>
      </c>
      <c r="I39" s="14">
        <v>409205.43</v>
      </c>
      <c r="J39" s="14">
        <v>1364018.1</v>
      </c>
      <c r="K39" s="14">
        <f>H39+I39-J39</f>
        <v>2540.6799999999348</v>
      </c>
      <c r="L39" s="15">
        <f>+F39</f>
        <v>0.99999560125074038</v>
      </c>
      <c r="M39" s="107">
        <f t="shared" si="6"/>
        <v>0</v>
      </c>
      <c r="N39" s="157"/>
      <c r="Q39" s="141"/>
      <c r="R39" s="144"/>
    </row>
    <row r="40" spans="1:18" ht="40.5" x14ac:dyDescent="0.2">
      <c r="A40" s="139" t="s">
        <v>135</v>
      </c>
      <c r="B40" s="11">
        <v>199999.99</v>
      </c>
      <c r="C40" s="11">
        <v>199999.99</v>
      </c>
      <c r="D40" s="11">
        <f>113.52+264.05+123.8+26.23</f>
        <v>527.6</v>
      </c>
      <c r="E40" s="14">
        <v>199730.99</v>
      </c>
      <c r="F40" s="14">
        <f>+E40/C40</f>
        <v>0.99865499993274998</v>
      </c>
      <c r="G40" s="251">
        <f t="shared" si="8"/>
        <v>796.60000000000582</v>
      </c>
      <c r="H40" s="11">
        <v>683.08</v>
      </c>
      <c r="I40" s="14">
        <f>180000+5000</f>
        <v>185000</v>
      </c>
      <c r="J40" s="14">
        <f>102106.79+5000+77779.69</f>
        <v>184886.47999999998</v>
      </c>
      <c r="K40" s="14">
        <f>H40+I40-J40</f>
        <v>796.60000000000582</v>
      </c>
      <c r="L40" s="15">
        <f>+F40</f>
        <v>0.99865499993274998</v>
      </c>
      <c r="M40" s="107">
        <f t="shared" si="6"/>
        <v>0</v>
      </c>
      <c r="N40" s="157"/>
      <c r="Q40" s="141"/>
      <c r="R40" s="144"/>
    </row>
    <row r="41" spans="1:18" s="5" customFormat="1" x14ac:dyDescent="0.2">
      <c r="A41" s="248" t="s">
        <v>60</v>
      </c>
      <c r="B41" s="21">
        <f t="shared" ref="B41:K41" si="11">SUM(B25:B40)</f>
        <v>121081081.11999999</v>
      </c>
      <c r="C41" s="21">
        <f t="shared" si="11"/>
        <v>121081081.11999999</v>
      </c>
      <c r="D41" s="21">
        <f t="shared" si="11"/>
        <v>652337.75000000012</v>
      </c>
      <c r="E41" s="21">
        <f t="shared" si="11"/>
        <v>120412156.85999998</v>
      </c>
      <c r="F41" s="249">
        <f t="shared" si="11"/>
        <v>11.826610185716277</v>
      </c>
      <c r="G41" s="249">
        <f t="shared" si="11"/>
        <v>1321262.0100000035</v>
      </c>
      <c r="H41" s="249">
        <f t="shared" si="11"/>
        <v>31145748.590000004</v>
      </c>
      <c r="I41" s="249">
        <f t="shared" si="11"/>
        <v>3791914.01</v>
      </c>
      <c r="J41" s="249">
        <f t="shared" si="11"/>
        <v>33616400.590000004</v>
      </c>
      <c r="K41" s="249">
        <f t="shared" si="11"/>
        <v>1321262.0100000021</v>
      </c>
      <c r="L41" s="252"/>
      <c r="M41" s="118">
        <f>SUM(M25:M40)</f>
        <v>-1.2877308108727448E-9</v>
      </c>
      <c r="N41" s="203"/>
      <c r="O41" s="143"/>
      <c r="P41" s="143"/>
    </row>
    <row r="42" spans="1:18" s="17" customFormat="1" x14ac:dyDescent="0.25">
      <c r="A42" s="139" t="s">
        <v>18</v>
      </c>
      <c r="B42" s="10">
        <v>9668787.5</v>
      </c>
      <c r="C42" s="10">
        <f>+B42-8808992.11</f>
        <v>859795.3900000006</v>
      </c>
      <c r="D42" s="11">
        <v>0</v>
      </c>
      <c r="E42" s="10">
        <v>126202.22</v>
      </c>
      <c r="F42" s="12">
        <f>+E42/C42</f>
        <v>0.14678168953662327</v>
      </c>
      <c r="G42" s="109">
        <f t="shared" ref="G42:G55" si="12">+C42+D42-E42</f>
        <v>733593.17000000062</v>
      </c>
      <c r="H42" s="11">
        <v>760336.44</v>
      </c>
      <c r="I42" s="14">
        <f>35750.7+49054.32+10000+17400</f>
        <v>112205.01999999999</v>
      </c>
      <c r="J42" s="14">
        <f>42293+3275.91+3277.52+90101.86</f>
        <v>138948.29</v>
      </c>
      <c r="K42" s="14">
        <f>H42+I42-J42</f>
        <v>733593.16999999993</v>
      </c>
      <c r="L42" s="15">
        <f>+F42</f>
        <v>0.14678168953662327</v>
      </c>
      <c r="M42" s="62">
        <f t="shared" ref="M42:M55" si="13">+K42-G42</f>
        <v>0</v>
      </c>
      <c r="N42" s="271"/>
      <c r="O42" s="153"/>
      <c r="P42" s="142"/>
    </row>
    <row r="43" spans="1:18" x14ac:dyDescent="0.2">
      <c r="A43" s="262" t="s">
        <v>20</v>
      </c>
      <c r="B43" s="109">
        <v>27138333.23</v>
      </c>
      <c r="C43" s="109">
        <v>27138333.23</v>
      </c>
      <c r="D43" s="261">
        <v>0</v>
      </c>
      <c r="E43" s="109">
        <f>26415966.23+831927-8117.68</f>
        <v>27239775.550000001</v>
      </c>
      <c r="F43" s="263">
        <f t="shared" ref="F43:F48" si="14">+E43/C43</f>
        <v>1.003737971641083</v>
      </c>
      <c r="G43" s="109">
        <f t="shared" si="12"/>
        <v>-101442.3200000003</v>
      </c>
      <c r="H43" s="264">
        <v>391978.01</v>
      </c>
      <c r="I43" s="201">
        <v>37944</v>
      </c>
      <c r="J43" s="201">
        <f>326678+16708.93+21550.06+166427.34</f>
        <v>531364.32999999996</v>
      </c>
      <c r="K43" s="201">
        <f t="shared" ref="K43:K50" si="15">H43+I43-J43</f>
        <v>-101442.31999999995</v>
      </c>
      <c r="L43" s="265">
        <f t="shared" ref="L43:L55" si="16">+F43</f>
        <v>1.003737971641083</v>
      </c>
      <c r="M43" s="62">
        <f t="shared" si="13"/>
        <v>3.4924596548080444E-10</v>
      </c>
      <c r="N43" s="272"/>
      <c r="O43" s="151"/>
    </row>
    <row r="44" spans="1:18" x14ac:dyDescent="0.2">
      <c r="A44" s="139" t="s">
        <v>21</v>
      </c>
      <c r="B44" s="10">
        <v>321506.03999999998</v>
      </c>
      <c r="C44" s="10">
        <f>+B44-280892.37</f>
        <v>40613.669999999984</v>
      </c>
      <c r="D44" s="11">
        <v>0</v>
      </c>
      <c r="E44" s="11">
        <v>40613.67</v>
      </c>
      <c r="F44" s="12">
        <f t="shared" si="14"/>
        <v>1.0000000000000004</v>
      </c>
      <c r="G44" s="109">
        <f t="shared" si="12"/>
        <v>0</v>
      </c>
      <c r="H44" s="13">
        <v>0</v>
      </c>
      <c r="I44" s="14">
        <v>0</v>
      </c>
      <c r="J44" s="14">
        <v>0</v>
      </c>
      <c r="K44" s="14">
        <f t="shared" si="15"/>
        <v>0</v>
      </c>
      <c r="L44" s="15">
        <f t="shared" si="16"/>
        <v>1.0000000000000004</v>
      </c>
      <c r="M44" s="62">
        <f t="shared" si="13"/>
        <v>0</v>
      </c>
    </row>
    <row r="45" spans="1:18" x14ac:dyDescent="0.2">
      <c r="A45" s="139" t="s">
        <v>22</v>
      </c>
      <c r="B45" s="10">
        <v>570803.89</v>
      </c>
      <c r="C45" s="10">
        <f>+B45-491970.23</f>
        <v>78833.660000000033</v>
      </c>
      <c r="D45" s="11">
        <v>0</v>
      </c>
      <c r="E45" s="11">
        <v>78833.66</v>
      </c>
      <c r="F45" s="12">
        <f t="shared" si="14"/>
        <v>0.99999999999999967</v>
      </c>
      <c r="G45" s="109">
        <f t="shared" si="12"/>
        <v>0</v>
      </c>
      <c r="H45" s="13">
        <v>0</v>
      </c>
      <c r="I45" s="14">
        <v>0</v>
      </c>
      <c r="J45" s="14">
        <v>0</v>
      </c>
      <c r="K45" s="14">
        <f t="shared" si="15"/>
        <v>0</v>
      </c>
      <c r="L45" s="15">
        <f t="shared" si="16"/>
        <v>0.99999999999999967</v>
      </c>
      <c r="M45" s="62">
        <f t="shared" si="13"/>
        <v>0</v>
      </c>
    </row>
    <row r="46" spans="1:18" x14ac:dyDescent="0.2">
      <c r="A46" s="139" t="s">
        <v>23</v>
      </c>
      <c r="B46" s="10">
        <v>1307693.44</v>
      </c>
      <c r="C46" s="10">
        <f>+B46-1273287.15</f>
        <v>34406.290000000037</v>
      </c>
      <c r="D46" s="11">
        <v>0</v>
      </c>
      <c r="E46" s="11">
        <v>34406.29</v>
      </c>
      <c r="F46" s="12">
        <f t="shared" si="14"/>
        <v>0.99999999999999889</v>
      </c>
      <c r="G46" s="109">
        <f t="shared" si="12"/>
        <v>0</v>
      </c>
      <c r="H46" s="13">
        <v>0</v>
      </c>
      <c r="I46" s="14">
        <v>0</v>
      </c>
      <c r="J46" s="14">
        <v>0</v>
      </c>
      <c r="K46" s="14">
        <f t="shared" si="15"/>
        <v>0</v>
      </c>
      <c r="L46" s="15">
        <f t="shared" si="16"/>
        <v>0.99999999999999889</v>
      </c>
      <c r="M46" s="62">
        <f t="shared" si="13"/>
        <v>0</v>
      </c>
    </row>
    <row r="47" spans="1:18" x14ac:dyDescent="0.2">
      <c r="A47" s="139" t="s">
        <v>24</v>
      </c>
      <c r="B47" s="10">
        <v>14234360.859999999</v>
      </c>
      <c r="C47" s="10">
        <f>+B47-14197791.76</f>
        <v>36569.099999999627</v>
      </c>
      <c r="D47" s="11">
        <v>0</v>
      </c>
      <c r="E47" s="10">
        <v>208.8</v>
      </c>
      <c r="F47" s="12">
        <f t="shared" si="14"/>
        <v>5.7097385497592813E-3</v>
      </c>
      <c r="G47" s="109">
        <f t="shared" si="12"/>
        <v>36360.299999999625</v>
      </c>
      <c r="H47" s="13">
        <v>-340080.7</v>
      </c>
      <c r="I47" s="14">
        <v>782752</v>
      </c>
      <c r="J47" s="14">
        <f>280823+125488</f>
        <v>406311</v>
      </c>
      <c r="K47" s="14">
        <f t="shared" si="15"/>
        <v>36360.299999999988</v>
      </c>
      <c r="L47" s="15">
        <f t="shared" si="16"/>
        <v>5.7097385497592813E-3</v>
      </c>
      <c r="M47" s="62">
        <f t="shared" si="13"/>
        <v>3.637978807091713E-10</v>
      </c>
      <c r="O47" s="151"/>
    </row>
    <row r="48" spans="1:18" x14ac:dyDescent="0.2">
      <c r="A48" s="139" t="s">
        <v>25</v>
      </c>
      <c r="B48" s="10">
        <v>658261.61</v>
      </c>
      <c r="C48" s="10">
        <f>+B48-367499.68</f>
        <v>290761.93</v>
      </c>
      <c r="D48" s="11">
        <v>0</v>
      </c>
      <c r="E48" s="10">
        <v>281389.86</v>
      </c>
      <c r="F48" s="12">
        <f t="shared" si="14"/>
        <v>0.96776720391146109</v>
      </c>
      <c r="G48" s="109">
        <f t="shared" si="12"/>
        <v>9372.070000000007</v>
      </c>
      <c r="H48" s="13">
        <v>56340.94</v>
      </c>
      <c r="I48" s="14">
        <v>0</v>
      </c>
      <c r="J48" s="14">
        <v>46968.87</v>
      </c>
      <c r="K48" s="14">
        <f t="shared" si="15"/>
        <v>9372.07</v>
      </c>
      <c r="L48" s="15">
        <f t="shared" si="16"/>
        <v>0.96776720391146109</v>
      </c>
      <c r="M48" s="62">
        <f t="shared" si="13"/>
        <v>0</v>
      </c>
    </row>
    <row r="49" spans="1:18" x14ac:dyDescent="0.2">
      <c r="A49" s="139" t="s">
        <v>53</v>
      </c>
      <c r="B49" s="10">
        <v>158979.12</v>
      </c>
      <c r="C49" s="10">
        <f>+B49</f>
        <v>158979.12</v>
      </c>
      <c r="D49" s="11">
        <v>0</v>
      </c>
      <c r="E49" s="11">
        <v>120000</v>
      </c>
      <c r="F49" s="12">
        <v>0</v>
      </c>
      <c r="G49" s="201">
        <f t="shared" si="12"/>
        <v>38979.119999999995</v>
      </c>
      <c r="H49" s="11">
        <v>43979.12</v>
      </c>
      <c r="I49" s="14">
        <v>0</v>
      </c>
      <c r="J49" s="14">
        <v>5000</v>
      </c>
      <c r="K49" s="14">
        <f t="shared" si="15"/>
        <v>38979.120000000003</v>
      </c>
      <c r="L49" s="15">
        <f t="shared" si="16"/>
        <v>0</v>
      </c>
      <c r="M49" s="62">
        <f t="shared" si="13"/>
        <v>0</v>
      </c>
    </row>
    <row r="50" spans="1:18" x14ac:dyDescent="0.2">
      <c r="A50" s="139" t="s">
        <v>28</v>
      </c>
      <c r="B50" s="10">
        <v>47798.07</v>
      </c>
      <c r="C50" s="10">
        <f>+B50-23516.14</f>
        <v>24281.93</v>
      </c>
      <c r="D50" s="11">
        <v>0</v>
      </c>
      <c r="E50" s="11">
        <v>0</v>
      </c>
      <c r="F50" s="12">
        <v>0</v>
      </c>
      <c r="G50" s="201">
        <f t="shared" si="12"/>
        <v>24281.93</v>
      </c>
      <c r="H50" s="11">
        <v>24281.93</v>
      </c>
      <c r="I50" s="14">
        <v>0</v>
      </c>
      <c r="J50" s="14">
        <v>0</v>
      </c>
      <c r="K50" s="14">
        <f t="shared" si="15"/>
        <v>24281.93</v>
      </c>
      <c r="L50" s="15">
        <f t="shared" si="16"/>
        <v>0</v>
      </c>
      <c r="M50" s="62">
        <f t="shared" si="13"/>
        <v>0</v>
      </c>
      <c r="N50" s="270"/>
    </row>
    <row r="51" spans="1:18" x14ac:dyDescent="0.2">
      <c r="A51" s="139" t="s">
        <v>29</v>
      </c>
      <c r="B51" s="10">
        <v>27972730</v>
      </c>
      <c r="C51" s="10">
        <f>+B51-27809818.06</f>
        <v>162911.94000000134</v>
      </c>
      <c r="D51" s="11">
        <v>186451.15</v>
      </c>
      <c r="E51" s="11">
        <v>0</v>
      </c>
      <c r="F51" s="12">
        <f>+E51/C51</f>
        <v>0</v>
      </c>
      <c r="G51" s="109">
        <f t="shared" si="12"/>
        <v>349363.09000000136</v>
      </c>
      <c r="H51" s="13">
        <v>656033.13</v>
      </c>
      <c r="I51" s="14">
        <f>-1</f>
        <v>-1</v>
      </c>
      <c r="J51" s="14">
        <f>219666.96+67322.53+19679.55</f>
        <v>306669.03999999998</v>
      </c>
      <c r="K51" s="14">
        <f>H51+I51-J51</f>
        <v>349363.09</v>
      </c>
      <c r="L51" s="15">
        <f t="shared" si="16"/>
        <v>0</v>
      </c>
      <c r="M51" s="62">
        <f t="shared" si="13"/>
        <v>-1.3387762010097504E-9</v>
      </c>
      <c r="N51" s="272"/>
    </row>
    <row r="52" spans="1:18" x14ac:dyDescent="0.2">
      <c r="A52" s="139" t="s">
        <v>30</v>
      </c>
      <c r="B52" s="10">
        <v>21170988.52</v>
      </c>
      <c r="C52" s="10">
        <f>+B52-21163370.79</f>
        <v>7617.730000000447</v>
      </c>
      <c r="D52" s="11">
        <v>0</v>
      </c>
      <c r="E52" s="10">
        <v>0</v>
      </c>
      <c r="F52" s="12">
        <f>+E52/C52</f>
        <v>0</v>
      </c>
      <c r="G52" s="109">
        <f t="shared" si="12"/>
        <v>7617.730000000447</v>
      </c>
      <c r="H52" s="13">
        <v>113156.96</v>
      </c>
      <c r="I52" s="14">
        <f>63664.06+25043.71</f>
        <v>88707.76999999999</v>
      </c>
      <c r="J52" s="14">
        <f>170257+6000+17990</f>
        <v>194247</v>
      </c>
      <c r="K52" s="14">
        <f>H52+I52-J52</f>
        <v>7617.7299999999814</v>
      </c>
      <c r="L52" s="15">
        <f t="shared" si="16"/>
        <v>0</v>
      </c>
      <c r="M52" s="107">
        <f t="shared" si="13"/>
        <v>-4.6566128730773926E-10</v>
      </c>
      <c r="N52" s="273"/>
      <c r="Q52" s="141"/>
      <c r="R52" s="144"/>
    </row>
    <row r="53" spans="1:18" ht="27" x14ac:dyDescent="0.2">
      <c r="A53" s="139" t="s">
        <v>56</v>
      </c>
      <c r="B53" s="10">
        <v>1500000</v>
      </c>
      <c r="C53" s="10">
        <f>1500000-1499965.2</f>
        <v>34.800000000046566</v>
      </c>
      <c r="D53" s="11">
        <v>0</v>
      </c>
      <c r="E53" s="10">
        <v>0</v>
      </c>
      <c r="F53" s="12">
        <f>+E53/C53</f>
        <v>0</v>
      </c>
      <c r="G53" s="109">
        <f t="shared" si="12"/>
        <v>34.800000000046566</v>
      </c>
      <c r="H53" s="13">
        <v>34.799999999999997</v>
      </c>
      <c r="I53" s="14">
        <v>0</v>
      </c>
      <c r="J53" s="14">
        <v>0</v>
      </c>
      <c r="K53" s="14">
        <f>H53+I53-J53</f>
        <v>34.799999999999997</v>
      </c>
      <c r="L53" s="15">
        <f t="shared" si="16"/>
        <v>0</v>
      </c>
      <c r="M53" s="107">
        <f t="shared" si="13"/>
        <v>-4.6568970901716966E-11</v>
      </c>
      <c r="N53" s="273"/>
      <c r="Q53" s="141"/>
      <c r="R53" s="144"/>
    </row>
    <row r="54" spans="1:18" x14ac:dyDescent="0.2">
      <c r="A54" s="139" t="s">
        <v>58</v>
      </c>
      <c r="B54" s="10">
        <v>8800000</v>
      </c>
      <c r="C54" s="10">
        <f>+B54-8793327.97</f>
        <v>6672.0299999993294</v>
      </c>
      <c r="D54" s="11">
        <v>0</v>
      </c>
      <c r="E54" s="10">
        <v>0</v>
      </c>
      <c r="F54" s="12">
        <f>+E54/C54</f>
        <v>0</v>
      </c>
      <c r="G54" s="109">
        <f t="shared" si="12"/>
        <v>6672.0299999993294</v>
      </c>
      <c r="H54" s="13">
        <v>136749.53</v>
      </c>
      <c r="I54" s="14">
        <v>0</v>
      </c>
      <c r="J54" s="14">
        <f>75804.55+37902.27+11370.68+5000</f>
        <v>130077.5</v>
      </c>
      <c r="K54" s="14">
        <f>H54+I54-J54</f>
        <v>6672.0299999999988</v>
      </c>
      <c r="L54" s="15">
        <f t="shared" si="16"/>
        <v>0</v>
      </c>
      <c r="M54" s="107">
        <f t="shared" si="13"/>
        <v>6.6938810050487518E-10</v>
      </c>
      <c r="N54" s="273"/>
      <c r="Q54" s="141"/>
      <c r="R54" s="144"/>
    </row>
    <row r="55" spans="1:18" x14ac:dyDescent="0.2">
      <c r="A55" s="139" t="s">
        <v>57</v>
      </c>
      <c r="B55" s="10">
        <v>3362600</v>
      </c>
      <c r="C55" s="10">
        <f>+B55-3361389.36</f>
        <v>1210.6400000001304</v>
      </c>
      <c r="D55" s="11">
        <v>0</v>
      </c>
      <c r="E55" s="10">
        <v>0</v>
      </c>
      <c r="F55" s="12">
        <f>+E55/C55</f>
        <v>0</v>
      </c>
      <c r="G55" s="109">
        <f t="shared" si="12"/>
        <v>1210.6400000001304</v>
      </c>
      <c r="H55" s="13">
        <v>54023.49</v>
      </c>
      <c r="I55" s="14">
        <v>0</v>
      </c>
      <c r="J55" s="14">
        <f>28977.48+14488.74+4346.63+5000</f>
        <v>52812.85</v>
      </c>
      <c r="K55" s="14">
        <f>H55+I55-J55</f>
        <v>1210.6399999999994</v>
      </c>
      <c r="L55" s="15">
        <f t="shared" si="16"/>
        <v>0</v>
      </c>
      <c r="M55" s="107">
        <f t="shared" si="13"/>
        <v>-1.3096723705530167E-10</v>
      </c>
      <c r="N55" s="273"/>
      <c r="Q55" s="141"/>
      <c r="R55" s="144"/>
    </row>
    <row r="56" spans="1:18" s="5" customFormat="1" x14ac:dyDescent="0.2">
      <c r="A56" s="20" t="s">
        <v>51</v>
      </c>
      <c r="B56" s="21">
        <f t="shared" ref="B56:K56" si="17">SUM(B42:B52)</f>
        <v>103250242.27999999</v>
      </c>
      <c r="C56" s="21">
        <f t="shared" si="17"/>
        <v>28833103.990000006</v>
      </c>
      <c r="D56" s="21">
        <f t="shared" si="17"/>
        <v>186451.15</v>
      </c>
      <c r="E56" s="21">
        <f t="shared" si="17"/>
        <v>27921430.050000001</v>
      </c>
      <c r="F56" s="21">
        <f t="shared" si="17"/>
        <v>5.1239966036389255</v>
      </c>
      <c r="G56" s="21">
        <f t="shared" si="17"/>
        <v>1098125.0900000017</v>
      </c>
      <c r="H56" s="21">
        <f t="shared" si="17"/>
        <v>1706025.83</v>
      </c>
      <c r="I56" s="21">
        <f t="shared" si="17"/>
        <v>1021607.79</v>
      </c>
      <c r="J56" s="21">
        <f t="shared" si="17"/>
        <v>1629508.5300000003</v>
      </c>
      <c r="K56" s="21">
        <f t="shared" si="17"/>
        <v>1098125.0899999999</v>
      </c>
      <c r="L56" s="23"/>
      <c r="M56" s="61"/>
      <c r="N56" s="203"/>
      <c r="O56" s="143"/>
      <c r="P56" s="143"/>
    </row>
    <row r="57" spans="1:18" s="17" customFormat="1" x14ac:dyDescent="0.25">
      <c r="A57" s="139" t="s">
        <v>18</v>
      </c>
      <c r="B57" s="10">
        <f>+C57</f>
        <v>557287.6400000006</v>
      </c>
      <c r="C57" s="10">
        <f>9497181.34-8522902.7-416991</f>
        <v>557287.6400000006</v>
      </c>
      <c r="D57" s="11">
        <v>0</v>
      </c>
      <c r="E57" s="10">
        <v>2038.23</v>
      </c>
      <c r="F57" s="12">
        <f>+E57/C57</f>
        <v>3.657411099230548E-3</v>
      </c>
      <c r="G57" s="10">
        <f>+C57+D57-E57</f>
        <v>555249.41000000061</v>
      </c>
      <c r="H57" s="13">
        <f>362224.72-0.47</f>
        <v>362224.25</v>
      </c>
      <c r="I57" s="14">
        <f>22013.2+172259.48</f>
        <v>194272.68000000002</v>
      </c>
      <c r="J57" s="14">
        <f>-4302.52+5550.04</f>
        <v>1247.5199999999995</v>
      </c>
      <c r="K57" s="14">
        <f>H57+I57-J57</f>
        <v>555249.41</v>
      </c>
      <c r="L57" s="15">
        <f>+F57</f>
        <v>3.657411099230548E-3</v>
      </c>
      <c r="M57" s="155">
        <f t="shared" ref="M57:M66" si="18">+K57-G57</f>
        <v>0</v>
      </c>
      <c r="N57" s="187"/>
      <c r="O57" s="142"/>
      <c r="P57" s="142"/>
    </row>
    <row r="58" spans="1:18" x14ac:dyDescent="0.2">
      <c r="A58" s="139" t="s">
        <v>20</v>
      </c>
      <c r="B58" s="10">
        <v>0</v>
      </c>
      <c r="C58" s="10">
        <f>981063.54-174602.54</f>
        <v>806461</v>
      </c>
      <c r="D58" s="11">
        <v>0</v>
      </c>
      <c r="E58" s="10">
        <v>0</v>
      </c>
      <c r="F58" s="12">
        <f t="shared" ref="F58:F67" si="19">+E58/C58</f>
        <v>0</v>
      </c>
      <c r="G58" s="10">
        <f>+C58+D58-E58</f>
        <v>806461</v>
      </c>
      <c r="H58" s="13">
        <v>1795340.56</v>
      </c>
      <c r="I58" s="14">
        <v>1162</v>
      </c>
      <c r="J58" s="14">
        <f>272555.03+160187.53+557299</f>
        <v>990041.56</v>
      </c>
      <c r="K58" s="14">
        <f t="shared" ref="K58:K83" si="20">H58+I58-J58</f>
        <v>806461</v>
      </c>
      <c r="L58" s="15">
        <f t="shared" ref="L58:L67" si="21">+F58</f>
        <v>0</v>
      </c>
      <c r="M58" s="62">
        <f>+K58-G58</f>
        <v>0</v>
      </c>
      <c r="N58" s="272"/>
    </row>
    <row r="59" spans="1:18" x14ac:dyDescent="0.2">
      <c r="A59" s="139" t="s">
        <v>21</v>
      </c>
      <c r="B59" s="10">
        <f t="shared" ref="B59:B67" si="22">+C59</f>
        <v>465.82999999998719</v>
      </c>
      <c r="C59" s="10">
        <f>266576.99-80893-185218.16</f>
        <v>465.82999999998719</v>
      </c>
      <c r="D59" s="11">
        <v>0</v>
      </c>
      <c r="E59" s="10">
        <v>0</v>
      </c>
      <c r="F59" s="12">
        <f t="shared" si="19"/>
        <v>0</v>
      </c>
      <c r="G59" s="10">
        <f>+C59+D59-E59</f>
        <v>465.82999999998719</v>
      </c>
      <c r="H59" s="13">
        <v>465.83</v>
      </c>
      <c r="I59" s="14">
        <v>0</v>
      </c>
      <c r="J59" s="14">
        <v>0</v>
      </c>
      <c r="K59" s="14">
        <f t="shared" si="20"/>
        <v>465.83</v>
      </c>
      <c r="L59" s="15">
        <f t="shared" si="21"/>
        <v>0</v>
      </c>
      <c r="M59" s="155">
        <f t="shared" si="18"/>
        <v>1.2789769243681803E-11</v>
      </c>
    </row>
    <row r="60" spans="1:18" x14ac:dyDescent="0.2">
      <c r="A60" s="139" t="s">
        <v>22</v>
      </c>
      <c r="B60" s="10">
        <f t="shared" si="22"/>
        <v>6067.4599999999627</v>
      </c>
      <c r="C60" s="10">
        <f>375412.66-201977-167368.2</f>
        <v>6067.4599999999627</v>
      </c>
      <c r="D60" s="10">
        <v>149.51</v>
      </c>
      <c r="E60" s="10">
        <v>0</v>
      </c>
      <c r="F60" s="12">
        <f t="shared" si="19"/>
        <v>0</v>
      </c>
      <c r="G60" s="10">
        <f t="shared" ref="G60:G65" si="23">+C60+D60-E60</f>
        <v>6216.969999999963</v>
      </c>
      <c r="H60" s="13">
        <v>6216.97</v>
      </c>
      <c r="I60" s="14">
        <v>0</v>
      </c>
      <c r="J60" s="14">
        <v>0</v>
      </c>
      <c r="K60" s="14">
        <f t="shared" si="20"/>
        <v>6216.97</v>
      </c>
      <c r="L60" s="15">
        <f t="shared" si="21"/>
        <v>0</v>
      </c>
      <c r="M60" s="62">
        <f t="shared" si="18"/>
        <v>3.7289282772690058E-11</v>
      </c>
    </row>
    <row r="61" spans="1:18" x14ac:dyDescent="0.2">
      <c r="A61" s="139" t="s">
        <v>23</v>
      </c>
      <c r="B61" s="10">
        <f t="shared" si="22"/>
        <v>17016.04999999993</v>
      </c>
      <c r="C61" s="10">
        <f>1302246.39-788192.61-497037.73</f>
        <v>17016.04999999993</v>
      </c>
      <c r="D61" s="10">
        <v>408.58</v>
      </c>
      <c r="E61" s="10">
        <v>0</v>
      </c>
      <c r="F61" s="12">
        <f t="shared" si="19"/>
        <v>0</v>
      </c>
      <c r="G61" s="10">
        <f t="shared" si="23"/>
        <v>17424.629999999932</v>
      </c>
      <c r="H61" s="13">
        <v>17424.63</v>
      </c>
      <c r="I61" s="14">
        <v>0</v>
      </c>
      <c r="J61" s="14">
        <v>0</v>
      </c>
      <c r="K61" s="14">
        <f t="shared" si="20"/>
        <v>17424.63</v>
      </c>
      <c r="L61" s="15">
        <f t="shared" si="21"/>
        <v>0</v>
      </c>
      <c r="M61" s="155">
        <f t="shared" si="18"/>
        <v>6.9121597334742546E-11</v>
      </c>
    </row>
    <row r="62" spans="1:18" x14ac:dyDescent="0.2">
      <c r="A62" s="139" t="s">
        <v>24</v>
      </c>
      <c r="B62" s="10">
        <f t="shared" si="22"/>
        <v>412246.5499999997</v>
      </c>
      <c r="C62" s="10">
        <f>13636634.35-13212786.17-11601.63</f>
        <v>412246.5499999997</v>
      </c>
      <c r="D62" s="11">
        <v>-459</v>
      </c>
      <c r="E62" s="10">
        <v>0</v>
      </c>
      <c r="F62" s="12">
        <f t="shared" si="19"/>
        <v>0</v>
      </c>
      <c r="G62" s="10">
        <f>+C62+D62-E62</f>
        <v>411787.5499999997</v>
      </c>
      <c r="H62" s="13">
        <v>37530.339999999997</v>
      </c>
      <c r="I62" s="14">
        <v>456237</v>
      </c>
      <c r="J62" s="14">
        <f>52394.42+7312.79+22272.58</f>
        <v>81979.790000000008</v>
      </c>
      <c r="K62" s="14">
        <f t="shared" si="20"/>
        <v>411787.54999999993</v>
      </c>
      <c r="L62" s="15">
        <f t="shared" si="21"/>
        <v>0</v>
      </c>
      <c r="M62" s="62">
        <f t="shared" si="18"/>
        <v>0</v>
      </c>
    </row>
    <row r="63" spans="1:18" x14ac:dyDescent="0.2">
      <c r="A63" s="139" t="s">
        <v>25</v>
      </c>
      <c r="B63" s="10">
        <f t="shared" si="22"/>
        <v>5151.3900000000722</v>
      </c>
      <c r="C63" s="10">
        <f>868753.03-542712.97-320888.67</f>
        <v>5151.3900000000722</v>
      </c>
      <c r="D63" s="10">
        <v>131.31</v>
      </c>
      <c r="E63" s="10">
        <v>0</v>
      </c>
      <c r="F63" s="12">
        <f t="shared" si="19"/>
        <v>0</v>
      </c>
      <c r="G63" s="10">
        <f t="shared" si="23"/>
        <v>5282.7000000000726</v>
      </c>
      <c r="H63" s="13">
        <v>5282.7</v>
      </c>
      <c r="I63" s="14">
        <v>0</v>
      </c>
      <c r="J63" s="14">
        <v>0</v>
      </c>
      <c r="K63" s="14">
        <f t="shared" si="20"/>
        <v>5282.7</v>
      </c>
      <c r="L63" s="15">
        <f t="shared" si="21"/>
        <v>0</v>
      </c>
      <c r="M63" s="155">
        <f t="shared" si="18"/>
        <v>-7.2759576141834259E-11</v>
      </c>
    </row>
    <row r="64" spans="1:18" x14ac:dyDescent="0.2">
      <c r="A64" s="139" t="s">
        <v>27</v>
      </c>
      <c r="B64" s="10">
        <f t="shared" si="22"/>
        <v>3767.3699999999953</v>
      </c>
      <c r="C64" s="10">
        <f>573447.69-569680.32</f>
        <v>3767.3699999999953</v>
      </c>
      <c r="D64" s="11">
        <v>0</v>
      </c>
      <c r="E64" s="10">
        <v>0</v>
      </c>
      <c r="F64" s="12">
        <f t="shared" si="19"/>
        <v>0</v>
      </c>
      <c r="G64" s="10">
        <f t="shared" si="23"/>
        <v>3767.3699999999953</v>
      </c>
      <c r="H64" s="13">
        <v>3767.37</v>
      </c>
      <c r="I64" s="14">
        <v>0</v>
      </c>
      <c r="J64" s="14">
        <v>0</v>
      </c>
      <c r="K64" s="14">
        <f t="shared" si="20"/>
        <v>3767.37</v>
      </c>
      <c r="L64" s="15">
        <f t="shared" si="21"/>
        <v>0</v>
      </c>
      <c r="M64" s="62">
        <f t="shared" si="18"/>
        <v>4.5474735088646412E-12</v>
      </c>
    </row>
    <row r="65" spans="1:16" x14ac:dyDescent="0.2">
      <c r="A65" s="139" t="s">
        <v>28</v>
      </c>
      <c r="B65" s="10">
        <f t="shared" si="22"/>
        <v>542.31999999999971</v>
      </c>
      <c r="C65" s="10">
        <f>36484.65-0-35942.33</f>
        <v>542.31999999999971</v>
      </c>
      <c r="D65" s="11">
        <v>0</v>
      </c>
      <c r="E65" s="10">
        <v>0</v>
      </c>
      <c r="F65" s="12">
        <f t="shared" si="19"/>
        <v>0</v>
      </c>
      <c r="G65" s="10">
        <f t="shared" si="23"/>
        <v>542.31999999999971</v>
      </c>
      <c r="H65" s="13">
        <v>542.32000000000005</v>
      </c>
      <c r="I65" s="14">
        <v>0</v>
      </c>
      <c r="J65" s="14">
        <v>0</v>
      </c>
      <c r="K65" s="14">
        <f t="shared" si="20"/>
        <v>542.32000000000005</v>
      </c>
      <c r="L65" s="15">
        <f t="shared" si="21"/>
        <v>0</v>
      </c>
      <c r="M65" s="155">
        <f t="shared" si="18"/>
        <v>0</v>
      </c>
    </row>
    <row r="66" spans="1:16" x14ac:dyDescent="0.2">
      <c r="A66" s="139" t="s">
        <v>29</v>
      </c>
      <c r="B66" s="10">
        <f>+C66</f>
        <v>489577.01999999862</v>
      </c>
      <c r="C66" s="10">
        <f>25804148.7-21535015.98-3779555.7</f>
        <v>489577.01999999862</v>
      </c>
      <c r="D66" s="45"/>
      <c r="E66" s="10">
        <v>0</v>
      </c>
      <c r="F66" s="12">
        <f t="shared" si="19"/>
        <v>0</v>
      </c>
      <c r="G66" s="10">
        <f>+C66+D66-E66</f>
        <v>489577.01999999862</v>
      </c>
      <c r="H66" s="13">
        <f>2255525.44-1688966.46</f>
        <v>566558.98</v>
      </c>
      <c r="I66" s="14">
        <v>122706.07</v>
      </c>
      <c r="J66" s="14">
        <f>20016.25+99956.62+61086.68+18628.48</f>
        <v>199688.03</v>
      </c>
      <c r="K66" s="14">
        <f>H66+I66-J66</f>
        <v>489577.02</v>
      </c>
      <c r="L66" s="15">
        <f t="shared" si="21"/>
        <v>0</v>
      </c>
      <c r="M66" s="62">
        <f t="shared" si="18"/>
        <v>1.3969838619232178E-9</v>
      </c>
      <c r="N66" s="272"/>
    </row>
    <row r="67" spans="1:16" x14ac:dyDescent="0.2">
      <c r="A67" s="139" t="s">
        <v>30</v>
      </c>
      <c r="B67" s="10">
        <f t="shared" si="22"/>
        <v>193749.02000000025</v>
      </c>
      <c r="C67" s="10">
        <f>19272341-17976826.68-1101765.3</f>
        <v>193749.02000000025</v>
      </c>
      <c r="D67" s="10">
        <v>4227.0200000000004</v>
      </c>
      <c r="E67" s="10">
        <v>0</v>
      </c>
      <c r="F67" s="12">
        <f t="shared" si="19"/>
        <v>0</v>
      </c>
      <c r="G67" s="10">
        <f>+C67+D67-E67</f>
        <v>197976.04000000024</v>
      </c>
      <c r="H67" s="13">
        <v>171700.75</v>
      </c>
      <c r="I67" s="14">
        <v>296402</v>
      </c>
      <c r="J67" s="14">
        <f>26299+244312.48</f>
        <v>270611.48</v>
      </c>
      <c r="K67" s="14">
        <f>H67+I67-J67</f>
        <v>197491.27000000002</v>
      </c>
      <c r="L67" s="15">
        <f t="shared" si="21"/>
        <v>0</v>
      </c>
      <c r="M67" s="155">
        <f>+K67-G67</f>
        <v>-484.77000000022235</v>
      </c>
      <c r="N67" s="273"/>
    </row>
    <row r="68" spans="1:16" s="5" customFormat="1" x14ac:dyDescent="0.2">
      <c r="A68" s="20" t="s">
        <v>33</v>
      </c>
      <c r="B68" s="21">
        <f>SUM(B57:B67)</f>
        <v>1685870.649999999</v>
      </c>
      <c r="C68" s="21">
        <f>SUM(C57:C67)</f>
        <v>2492331.6499999994</v>
      </c>
      <c r="D68" s="21">
        <f>SUM(D57:D67)</f>
        <v>4457.42</v>
      </c>
      <c r="E68" s="21">
        <f>SUM(E57:E67)</f>
        <v>2038.23</v>
      </c>
      <c r="F68" s="22">
        <f>+E68/C68</f>
        <v>8.178004721000917E-4</v>
      </c>
      <c r="G68" s="21">
        <f>SUM(G57:G67)</f>
        <v>2494750.8399999989</v>
      </c>
      <c r="H68" s="21">
        <f>SUM(H57:H67)</f>
        <v>2967054.7</v>
      </c>
      <c r="I68" s="21">
        <f>SUM(I57:I67)</f>
        <v>1070779.75</v>
      </c>
      <c r="J68" s="21">
        <f>SUM(J57:J67)</f>
        <v>1543568.3800000001</v>
      </c>
      <c r="K68" s="21">
        <f>SUM(K57:K67)</f>
        <v>2494266.0700000003</v>
      </c>
      <c r="L68" s="23"/>
      <c r="M68" s="62">
        <f t="shared" ref="M68:M84" si="24">+K68-G68</f>
        <v>-484.76999999862164</v>
      </c>
      <c r="N68" s="203"/>
      <c r="O68" s="143"/>
      <c r="P68" s="143"/>
    </row>
    <row r="69" spans="1:16" x14ac:dyDescent="0.2">
      <c r="A69" s="139" t="s">
        <v>34</v>
      </c>
      <c r="B69" s="10">
        <v>0</v>
      </c>
      <c r="C69" s="10">
        <v>256006.06</v>
      </c>
      <c r="D69" s="13">
        <v>440.75</v>
      </c>
      <c r="E69" s="10">
        <v>0</v>
      </c>
      <c r="F69" s="12">
        <v>0</v>
      </c>
      <c r="G69" s="10">
        <f>+C69+D69-E69</f>
        <v>256446.81</v>
      </c>
      <c r="H69" s="10">
        <v>238695.02</v>
      </c>
      <c r="I69" s="10">
        <v>30099.8</v>
      </c>
      <c r="J69" s="10">
        <v>12348.01</v>
      </c>
      <c r="K69" s="10">
        <f t="shared" si="20"/>
        <v>256446.81</v>
      </c>
      <c r="L69" s="15"/>
      <c r="M69" s="62">
        <f t="shared" si="24"/>
        <v>0</v>
      </c>
    </row>
    <row r="70" spans="1:16" x14ac:dyDescent="0.2">
      <c r="A70" s="20" t="s">
        <v>35</v>
      </c>
      <c r="B70" s="25">
        <f t="shared" ref="B70:K70" si="25">SUM(B69:B69)</f>
        <v>0</v>
      </c>
      <c r="C70" s="25">
        <f t="shared" si="25"/>
        <v>256006.06</v>
      </c>
      <c r="D70" s="25">
        <f t="shared" si="25"/>
        <v>440.75</v>
      </c>
      <c r="E70" s="25">
        <f t="shared" si="25"/>
        <v>0</v>
      </c>
      <c r="F70" s="25">
        <f t="shared" si="25"/>
        <v>0</v>
      </c>
      <c r="G70" s="25">
        <f t="shared" si="25"/>
        <v>256446.81</v>
      </c>
      <c r="H70" s="25">
        <f t="shared" si="25"/>
        <v>238695.02</v>
      </c>
      <c r="I70" s="25">
        <f t="shared" si="25"/>
        <v>30099.8</v>
      </c>
      <c r="J70" s="25">
        <f t="shared" si="25"/>
        <v>12348.01</v>
      </c>
      <c r="K70" s="25">
        <f t="shared" si="25"/>
        <v>256446.81</v>
      </c>
      <c r="L70" s="27"/>
      <c r="M70" s="62">
        <f t="shared" si="24"/>
        <v>0</v>
      </c>
    </row>
    <row r="71" spans="1:16" x14ac:dyDescent="0.2">
      <c r="A71" s="13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0.47</v>
      </c>
      <c r="H71" s="10">
        <v>0.47</v>
      </c>
      <c r="I71" s="10">
        <v>0</v>
      </c>
      <c r="J71" s="10">
        <v>0</v>
      </c>
      <c r="K71" s="10">
        <f t="shared" si="20"/>
        <v>0.47</v>
      </c>
      <c r="L71" s="15"/>
      <c r="M71" s="62">
        <f t="shared" si="24"/>
        <v>0</v>
      </c>
    </row>
    <row r="72" spans="1:16" x14ac:dyDescent="0.2">
      <c r="A72" s="139" t="s">
        <v>29</v>
      </c>
      <c r="B72" s="10">
        <v>0</v>
      </c>
      <c r="C72" s="10">
        <v>0</v>
      </c>
      <c r="D72" s="10">
        <v>0</v>
      </c>
      <c r="E72" s="10">
        <v>0</v>
      </c>
      <c r="F72" s="12">
        <v>0</v>
      </c>
      <c r="G72" s="10">
        <v>17.399999999999999</v>
      </c>
      <c r="H72" s="10">
        <v>17.399999999999999</v>
      </c>
      <c r="I72" s="10"/>
      <c r="J72" s="10">
        <v>0</v>
      </c>
      <c r="K72" s="10">
        <f t="shared" si="20"/>
        <v>17.399999999999999</v>
      </c>
      <c r="L72" s="15"/>
      <c r="M72" s="62">
        <f t="shared" si="24"/>
        <v>0</v>
      </c>
    </row>
    <row r="73" spans="1:16" x14ac:dyDescent="0.2">
      <c r="A73" s="20" t="s">
        <v>37</v>
      </c>
      <c r="B73" s="25">
        <f t="shared" ref="B73:K73" si="26">SUM(B71:B72)</f>
        <v>0</v>
      </c>
      <c r="C73" s="25">
        <f t="shared" si="26"/>
        <v>0</v>
      </c>
      <c r="D73" s="25">
        <f t="shared" si="26"/>
        <v>0</v>
      </c>
      <c r="E73" s="25">
        <f t="shared" si="26"/>
        <v>0</v>
      </c>
      <c r="F73" s="25">
        <f t="shared" si="26"/>
        <v>0</v>
      </c>
      <c r="G73" s="25">
        <f t="shared" si="26"/>
        <v>17.869999999999997</v>
      </c>
      <c r="H73" s="25">
        <f t="shared" si="26"/>
        <v>17.869999999999997</v>
      </c>
      <c r="I73" s="25">
        <f t="shared" si="26"/>
        <v>0</v>
      </c>
      <c r="J73" s="25">
        <f t="shared" si="26"/>
        <v>0</v>
      </c>
      <c r="K73" s="25">
        <f t="shared" si="26"/>
        <v>17.869999999999997</v>
      </c>
      <c r="L73" s="27"/>
      <c r="M73" s="62">
        <f>+K73-G73</f>
        <v>0</v>
      </c>
    </row>
    <row r="74" spans="1:16" x14ac:dyDescent="0.2">
      <c r="A74" s="139" t="s">
        <v>18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1392</v>
      </c>
      <c r="H74" s="10">
        <v>1392</v>
      </c>
      <c r="I74" s="10">
        <v>0</v>
      </c>
      <c r="J74" s="10">
        <v>0</v>
      </c>
      <c r="K74" s="10">
        <f t="shared" si="20"/>
        <v>1392</v>
      </c>
      <c r="L74" s="15"/>
      <c r="M74" s="62">
        <f t="shared" si="24"/>
        <v>0</v>
      </c>
    </row>
    <row r="75" spans="1:16" x14ac:dyDescent="0.2">
      <c r="A75" s="139" t="s">
        <v>20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382.8</v>
      </c>
      <c r="H75" s="10">
        <v>382.8</v>
      </c>
      <c r="I75" s="10">
        <v>0</v>
      </c>
      <c r="J75" s="10">
        <v>0</v>
      </c>
      <c r="K75" s="10">
        <f t="shared" si="20"/>
        <v>382.8</v>
      </c>
      <c r="L75" s="15"/>
      <c r="M75" s="62">
        <f t="shared" si="24"/>
        <v>0</v>
      </c>
    </row>
    <row r="76" spans="1:16" x14ac:dyDescent="0.2">
      <c r="A76" s="139" t="s">
        <v>29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242057.67</v>
      </c>
      <c r="H76" s="10">
        <v>242057.67</v>
      </c>
      <c r="I76" s="10">
        <v>0</v>
      </c>
      <c r="J76" s="10">
        <v>0</v>
      </c>
      <c r="K76" s="10">
        <f t="shared" si="20"/>
        <v>242057.67</v>
      </c>
      <c r="L76" s="15"/>
      <c r="M76" s="62">
        <f t="shared" si="24"/>
        <v>0</v>
      </c>
    </row>
    <row r="77" spans="1:16" x14ac:dyDescent="0.2">
      <c r="A77" s="20" t="s">
        <v>38</v>
      </c>
      <c r="B77" s="25">
        <f t="shared" ref="B77:K77" si="27">SUM(B74:B76)</f>
        <v>0</v>
      </c>
      <c r="C77" s="25">
        <f t="shared" si="27"/>
        <v>0</v>
      </c>
      <c r="D77" s="25">
        <f t="shared" si="27"/>
        <v>0</v>
      </c>
      <c r="E77" s="25">
        <f t="shared" si="27"/>
        <v>0</v>
      </c>
      <c r="F77" s="25">
        <f t="shared" si="27"/>
        <v>0</v>
      </c>
      <c r="G77" s="25">
        <f t="shared" si="27"/>
        <v>243832.47</v>
      </c>
      <c r="H77" s="25">
        <f t="shared" si="27"/>
        <v>243832.47</v>
      </c>
      <c r="I77" s="25">
        <f t="shared" si="27"/>
        <v>0</v>
      </c>
      <c r="J77" s="25">
        <f t="shared" si="27"/>
        <v>0</v>
      </c>
      <c r="K77" s="25">
        <f t="shared" si="27"/>
        <v>243832.47</v>
      </c>
      <c r="L77" s="27"/>
      <c r="M77" s="62">
        <f t="shared" si="24"/>
        <v>0</v>
      </c>
    </row>
    <row r="78" spans="1:16" x14ac:dyDescent="0.2">
      <c r="A78" s="139" t="s">
        <v>36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-10</v>
      </c>
      <c r="H78" s="10">
        <v>-10</v>
      </c>
      <c r="I78" s="10">
        <v>0</v>
      </c>
      <c r="J78" s="10">
        <v>0</v>
      </c>
      <c r="K78" s="10">
        <f t="shared" si="20"/>
        <v>-10</v>
      </c>
      <c r="L78" s="15"/>
      <c r="M78" s="62">
        <f t="shared" si="24"/>
        <v>0</v>
      </c>
    </row>
    <row r="79" spans="1:16" x14ac:dyDescent="0.2">
      <c r="A79" s="139" t="s">
        <v>20</v>
      </c>
      <c r="B79" s="10">
        <v>0</v>
      </c>
      <c r="C79" s="10">
        <v>0</v>
      </c>
      <c r="D79" s="10"/>
      <c r="E79" s="10">
        <v>0</v>
      </c>
      <c r="F79" s="12">
        <v>0</v>
      </c>
      <c r="G79" s="10">
        <v>219.47</v>
      </c>
      <c r="H79" s="10">
        <v>219.47</v>
      </c>
      <c r="I79" s="10">
        <v>0</v>
      </c>
      <c r="J79" s="10">
        <v>0</v>
      </c>
      <c r="K79" s="10">
        <f t="shared" si="20"/>
        <v>219.47</v>
      </c>
      <c r="L79" s="15"/>
      <c r="M79" s="62">
        <f t="shared" si="24"/>
        <v>0</v>
      </c>
    </row>
    <row r="80" spans="1:16" x14ac:dyDescent="0.2">
      <c r="A80" s="139" t="s">
        <v>24</v>
      </c>
      <c r="B80" s="10">
        <v>0</v>
      </c>
      <c r="C80" s="10">
        <v>0</v>
      </c>
      <c r="D80" s="10"/>
      <c r="E80" s="10">
        <v>0</v>
      </c>
      <c r="F80" s="12">
        <v>0</v>
      </c>
      <c r="G80" s="10">
        <v>1150.8900000000001</v>
      </c>
      <c r="H80" s="10">
        <v>42631.81</v>
      </c>
      <c r="I80" s="10">
        <v>412765.08</v>
      </c>
      <c r="J80" s="10">
        <v>454246</v>
      </c>
      <c r="K80" s="10">
        <f t="shared" si="20"/>
        <v>1150.890000000014</v>
      </c>
      <c r="L80" s="15"/>
      <c r="M80" s="62">
        <f t="shared" si="24"/>
        <v>1.3869794202037156E-11</v>
      </c>
    </row>
    <row r="81" spans="1:13" x14ac:dyDescent="0.2">
      <c r="A81" s="139" t="s">
        <v>25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719.87</v>
      </c>
      <c r="H81" s="10">
        <v>719.87</v>
      </c>
      <c r="I81" s="10">
        <v>0</v>
      </c>
      <c r="J81" s="10">
        <v>0</v>
      </c>
      <c r="K81" s="10">
        <f t="shared" si="20"/>
        <v>719.87</v>
      </c>
      <c r="L81" s="15"/>
      <c r="M81" s="62">
        <f t="shared" si="24"/>
        <v>0</v>
      </c>
    </row>
    <row r="82" spans="1:13" x14ac:dyDescent="0.2">
      <c r="A82" s="139" t="s">
        <v>27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267528.84000000003</v>
      </c>
      <c r="H82" s="10">
        <v>0</v>
      </c>
      <c r="I82" s="10">
        <v>267528.84000000003</v>
      </c>
      <c r="J82" s="10">
        <v>0</v>
      </c>
      <c r="K82" s="10">
        <f t="shared" si="20"/>
        <v>267528.84000000003</v>
      </c>
      <c r="L82" s="15"/>
      <c r="M82" s="62">
        <f t="shared" si="24"/>
        <v>0</v>
      </c>
    </row>
    <row r="83" spans="1:13" x14ac:dyDescent="0.2">
      <c r="A83" s="139" t="s">
        <v>29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236767.4</v>
      </c>
      <c r="H83" s="10">
        <v>243581.68</v>
      </c>
      <c r="I83" s="10">
        <v>0</v>
      </c>
      <c r="J83" s="10">
        <f>2827.74+3986.54</f>
        <v>6814.28</v>
      </c>
      <c r="K83" s="10">
        <f t="shared" si="20"/>
        <v>236767.4</v>
      </c>
      <c r="L83" s="15"/>
      <c r="M83" s="62">
        <f t="shared" si="24"/>
        <v>0</v>
      </c>
    </row>
    <row r="84" spans="1:13" x14ac:dyDescent="0.2">
      <c r="A84" s="20" t="s">
        <v>39</v>
      </c>
      <c r="B84" s="25">
        <f t="shared" ref="B84:K84" si="28">SUM(B78:B83)</f>
        <v>0</v>
      </c>
      <c r="C84" s="25">
        <f t="shared" si="28"/>
        <v>0</v>
      </c>
      <c r="D84" s="25">
        <f t="shared" si="28"/>
        <v>0</v>
      </c>
      <c r="E84" s="25">
        <f t="shared" si="28"/>
        <v>0</v>
      </c>
      <c r="F84" s="25">
        <f t="shared" si="28"/>
        <v>0</v>
      </c>
      <c r="G84" s="25">
        <f t="shared" si="28"/>
        <v>506376.47</v>
      </c>
      <c r="H84" s="25">
        <f t="shared" si="28"/>
        <v>287142.83</v>
      </c>
      <c r="I84" s="25">
        <f t="shared" si="28"/>
        <v>680293.92</v>
      </c>
      <c r="J84" s="25">
        <f t="shared" si="28"/>
        <v>461060.28</v>
      </c>
      <c r="K84" s="25">
        <f t="shared" si="28"/>
        <v>506376.47000000009</v>
      </c>
      <c r="L84" s="27"/>
      <c r="M84" s="62">
        <f t="shared" si="24"/>
        <v>0</v>
      </c>
    </row>
    <row r="85" spans="1:13" x14ac:dyDescent="0.25">
      <c r="A85" s="20" t="s">
        <v>44</v>
      </c>
      <c r="B85" s="25">
        <f t="shared" ref="B85:K85" si="29">+B56+B68+B70+B73+B77+B84</f>
        <v>104936112.92999999</v>
      </c>
      <c r="C85" s="25">
        <f t="shared" si="29"/>
        <v>31581441.700000003</v>
      </c>
      <c r="D85" s="25">
        <f t="shared" si="29"/>
        <v>191349.32</v>
      </c>
      <c r="E85" s="25">
        <f t="shared" si="29"/>
        <v>27923468.280000001</v>
      </c>
      <c r="F85" s="25">
        <f t="shared" si="29"/>
        <v>5.1248144041110253</v>
      </c>
      <c r="G85" s="25">
        <f t="shared" si="29"/>
        <v>4599549.5500000007</v>
      </c>
      <c r="H85" s="25">
        <f t="shared" si="29"/>
        <v>5442768.7199999997</v>
      </c>
      <c r="I85" s="25">
        <f t="shared" si="29"/>
        <v>2802781.26</v>
      </c>
      <c r="J85" s="25">
        <f t="shared" si="29"/>
        <v>3646485.2</v>
      </c>
      <c r="K85" s="25">
        <f t="shared" si="29"/>
        <v>4599064.78</v>
      </c>
      <c r="L85" s="27"/>
    </row>
    <row r="86" spans="1:13" x14ac:dyDescent="0.25">
      <c r="A86" s="28"/>
      <c r="B86" s="29"/>
      <c r="C86" s="29"/>
      <c r="D86" s="29"/>
      <c r="E86" s="28"/>
      <c r="F86" s="28"/>
      <c r="G86" s="28"/>
      <c r="H86" s="28"/>
      <c r="I86" s="28"/>
      <c r="J86" s="28"/>
      <c r="K86" s="28"/>
      <c r="L86" s="30"/>
    </row>
    <row r="87" spans="1:13" x14ac:dyDescent="0.25">
      <c r="A87" s="140"/>
      <c r="B87" s="19"/>
      <c r="C87" s="333" t="s">
        <v>45</v>
      </c>
      <c r="D87" s="333"/>
      <c r="E87" s="333"/>
      <c r="F87" s="333"/>
      <c r="G87" s="333"/>
      <c r="H87" s="333"/>
      <c r="I87" s="333"/>
      <c r="J87" s="19"/>
      <c r="K87" s="19"/>
      <c r="L87" s="19"/>
    </row>
    <row r="88" spans="1:13" x14ac:dyDescent="0.25">
      <c r="A88" s="140"/>
      <c r="B88" s="19"/>
      <c r="C88" s="259"/>
      <c r="D88" s="259"/>
      <c r="E88" s="259"/>
      <c r="F88" s="259"/>
      <c r="G88" s="259"/>
      <c r="H88" s="259"/>
      <c r="I88" s="259"/>
      <c r="J88" s="19"/>
      <c r="K88" s="19"/>
      <c r="L88" s="19"/>
    </row>
    <row r="89" spans="1:13" x14ac:dyDescent="0.25">
      <c r="A89" s="140"/>
      <c r="B89" s="325" t="s">
        <v>46</v>
      </c>
      <c r="C89" s="325"/>
      <c r="D89" s="326" t="s">
        <v>47</v>
      </c>
      <c r="E89" s="327"/>
      <c r="F89" s="328"/>
      <c r="G89" s="320" t="s">
        <v>48</v>
      </c>
      <c r="H89" s="320"/>
      <c r="I89" s="257" t="s">
        <v>10</v>
      </c>
      <c r="J89" s="19"/>
      <c r="K89" s="19"/>
      <c r="L89" s="19"/>
    </row>
    <row r="90" spans="1:13" x14ac:dyDescent="0.25">
      <c r="A90" s="140"/>
      <c r="B90" s="329" t="s">
        <v>49</v>
      </c>
      <c r="C90" s="329"/>
      <c r="D90" s="330">
        <v>9000000</v>
      </c>
      <c r="E90" s="331"/>
      <c r="F90" s="332">
        <v>0</v>
      </c>
      <c r="G90" s="330">
        <v>0</v>
      </c>
      <c r="H90" s="332"/>
      <c r="I90" s="33">
        <f>G90/D90</f>
        <v>0</v>
      </c>
      <c r="J90" s="19"/>
      <c r="K90" s="19"/>
      <c r="L90" s="19"/>
    </row>
    <row r="91" spans="1:13" x14ac:dyDescent="0.25">
      <c r="A91" s="140"/>
      <c r="B91" s="320"/>
      <c r="C91" s="320"/>
      <c r="D91" s="321"/>
      <c r="E91" s="322"/>
      <c r="F91" s="323"/>
      <c r="G91" s="324"/>
      <c r="H91" s="324"/>
      <c r="I91" s="258"/>
      <c r="J91" s="19"/>
      <c r="K91" s="19"/>
      <c r="L91" s="19"/>
    </row>
    <row r="92" spans="1:13" x14ac:dyDescent="0.25">
      <c r="A92" s="140"/>
      <c r="B92" s="320"/>
      <c r="C92" s="320"/>
      <c r="D92" s="321"/>
      <c r="E92" s="322"/>
      <c r="F92" s="323"/>
      <c r="G92" s="324"/>
      <c r="H92" s="324"/>
      <c r="I92" s="258"/>
      <c r="J92" s="19"/>
      <c r="K92" s="19"/>
      <c r="L92" s="19"/>
    </row>
    <row r="93" spans="1:13" x14ac:dyDescent="0.25">
      <c r="A93" s="140"/>
      <c r="B93" s="320"/>
      <c r="C93" s="320"/>
      <c r="D93" s="321"/>
      <c r="E93" s="322"/>
      <c r="F93" s="323"/>
      <c r="G93" s="324"/>
      <c r="H93" s="324"/>
      <c r="I93" s="258"/>
      <c r="J93" s="19"/>
      <c r="K93" s="19"/>
      <c r="L93" s="19"/>
    </row>
    <row r="94" spans="1:13" x14ac:dyDescent="0.25">
      <c r="A94" s="35" t="s">
        <v>50</v>
      </c>
      <c r="B94" s="36"/>
      <c r="C94" s="36"/>
      <c r="D94" s="36"/>
      <c r="E94" s="36"/>
      <c r="F94" s="36"/>
      <c r="G94" s="37"/>
      <c r="H94" s="37"/>
      <c r="I94" s="38"/>
      <c r="J94" s="19"/>
      <c r="K94" s="19"/>
      <c r="L94" s="19"/>
    </row>
    <row r="96" spans="1:13" x14ac:dyDescent="0.25">
      <c r="C96" s="342" t="s">
        <v>125</v>
      </c>
      <c r="D96" s="342"/>
      <c r="I96" s="342" t="s">
        <v>128</v>
      </c>
      <c r="J96" s="342"/>
    </row>
    <row r="99" spans="3:10" x14ac:dyDescent="0.25">
      <c r="C99" s="342" t="s">
        <v>126</v>
      </c>
      <c r="D99" s="342"/>
      <c r="I99" s="342" t="s">
        <v>129</v>
      </c>
      <c r="J99" s="342"/>
    </row>
    <row r="100" spans="3:10" x14ac:dyDescent="0.25">
      <c r="C100" s="342" t="s">
        <v>127</v>
      </c>
      <c r="D100" s="342"/>
      <c r="I100" s="342" t="s">
        <v>130</v>
      </c>
      <c r="J100" s="342"/>
    </row>
  </sheetData>
  <mergeCells count="39">
    <mergeCell ref="A1:L1"/>
    <mergeCell ref="A3:L3"/>
    <mergeCell ref="A6:L6"/>
    <mergeCell ref="A7:L7"/>
    <mergeCell ref="C8:G8"/>
    <mergeCell ref="H8:K8"/>
    <mergeCell ref="A9:A10"/>
    <mergeCell ref="B9:B10"/>
    <mergeCell ref="C9:C10"/>
    <mergeCell ref="D9:D10"/>
    <mergeCell ref="E9:E10"/>
    <mergeCell ref="J9:J10"/>
    <mergeCell ref="K9:K10"/>
    <mergeCell ref="B89:C89"/>
    <mergeCell ref="D89:F89"/>
    <mergeCell ref="G89:H89"/>
    <mergeCell ref="C87:I87"/>
    <mergeCell ref="F9:F10"/>
    <mergeCell ref="G9:G10"/>
    <mergeCell ref="H9:H10"/>
    <mergeCell ref="I9:I10"/>
    <mergeCell ref="B90:C90"/>
    <mergeCell ref="D90:F90"/>
    <mergeCell ref="G90:H90"/>
    <mergeCell ref="B91:C91"/>
    <mergeCell ref="D91:F91"/>
    <mergeCell ref="G91:H91"/>
    <mergeCell ref="B92:C92"/>
    <mergeCell ref="D92:F92"/>
    <mergeCell ref="G92:H92"/>
    <mergeCell ref="C100:D100"/>
    <mergeCell ref="I100:J100"/>
    <mergeCell ref="B93:C93"/>
    <mergeCell ref="D93:F93"/>
    <mergeCell ref="G93:H93"/>
    <mergeCell ref="C96:D96"/>
    <mergeCell ref="I96:J96"/>
    <mergeCell ref="C99:D99"/>
    <mergeCell ref="I99:J99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100"/>
  <sheetViews>
    <sheetView workbookViewId="0">
      <selection activeCell="C11" sqref="C11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24.28515625" style="165" customWidth="1"/>
    <col min="14" max="14" width="16.5703125" style="186" customWidth="1"/>
    <col min="15" max="16" width="16.5703125" style="141"/>
    <col min="17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6" x14ac:dyDescent="0.25">
      <c r="A1" s="334" t="s">
        <v>146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6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334" t="s">
        <v>147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6" x14ac:dyDescent="0.25">
      <c r="A4" s="3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16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</row>
    <row r="6" spans="1:16" x14ac:dyDescent="0.25">
      <c r="A6" s="334" t="s">
        <v>146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6" x14ac:dyDescent="0.25">
      <c r="A7" s="334" t="s">
        <v>148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6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</row>
    <row r="9" spans="1:16" s="17" customFormat="1" ht="18" customHeigh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166"/>
      <c r="N9" s="187"/>
      <c r="O9" s="142"/>
      <c r="P9" s="142"/>
    </row>
    <row r="10" spans="1:16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O10" s="151"/>
    </row>
    <row r="11" spans="1:16" s="17" customFormat="1" x14ac:dyDescent="0.25">
      <c r="A11" s="139" t="s">
        <v>18</v>
      </c>
      <c r="B11" s="14">
        <v>12913787.119999999</v>
      </c>
      <c r="C11" s="274">
        <f>4100947.43+289701.55</f>
        <v>4390648.9800000004</v>
      </c>
      <c r="D11" s="11">
        <v>1157.33</v>
      </c>
      <c r="E11" s="274">
        <v>3085783.58</v>
      </c>
      <c r="F11" s="14">
        <f>+E11/C11</f>
        <v>0.70280808009389073</v>
      </c>
      <c r="G11" s="251">
        <f>+C11+D11-E11</f>
        <v>1306022.7300000004</v>
      </c>
      <c r="H11" s="275">
        <f>39600+1104672.73+5000</f>
        <v>1149272.73</v>
      </c>
      <c r="I11" s="14">
        <f>160000+16551</f>
        <v>176551</v>
      </c>
      <c r="J11" s="14">
        <f>13051+6750</f>
        <v>19801</v>
      </c>
      <c r="K11" s="14">
        <f>H11+I11-J11</f>
        <v>1306022.73</v>
      </c>
      <c r="L11" s="15">
        <f>+F11</f>
        <v>0.70280808009389073</v>
      </c>
      <c r="M11" s="61">
        <f t="shared" ref="M11:M23" si="0">+K11-G11</f>
        <v>0</v>
      </c>
      <c r="N11" s="278"/>
      <c r="O11" s="153"/>
      <c r="P11" s="142"/>
    </row>
    <row r="12" spans="1:16" x14ac:dyDescent="0.2">
      <c r="A12" s="139" t="s">
        <v>20</v>
      </c>
      <c r="B12" s="14">
        <v>30330208</v>
      </c>
      <c r="C12" s="275">
        <v>7076712.29</v>
      </c>
      <c r="D12" s="11">
        <v>5.04</v>
      </c>
      <c r="E12" s="274">
        <v>5855173.8300000001</v>
      </c>
      <c r="F12" s="14">
        <f t="shared" ref="F12:F17" si="1">+E12/C12</f>
        <v>0.82738616324332726</v>
      </c>
      <c r="G12" s="251">
        <f t="shared" ref="G12:G23" si="2">+C12+D12-E12</f>
        <v>1221543.5</v>
      </c>
      <c r="H12" s="275">
        <f>40000+1444029.5</f>
        <v>1484029.5</v>
      </c>
      <c r="I12" s="14">
        <f>150000+13600</f>
        <v>163600</v>
      </c>
      <c r="J12" s="14">
        <f>386606+39480</f>
        <v>426086</v>
      </c>
      <c r="K12" s="14">
        <f t="shared" ref="K12:K21" si="3">H12+I12-J12</f>
        <v>1221543.5</v>
      </c>
      <c r="L12" s="15">
        <f t="shared" ref="L12:L23" si="4">+F12</f>
        <v>0.82738616324332726</v>
      </c>
      <c r="M12" s="61">
        <f t="shared" si="0"/>
        <v>0</v>
      </c>
      <c r="N12" s="279"/>
      <c r="O12" s="151"/>
    </row>
    <row r="13" spans="1:16" x14ac:dyDescent="0.2">
      <c r="A13" s="139" t="s">
        <v>21</v>
      </c>
      <c r="B13" s="14">
        <v>281207</v>
      </c>
      <c r="C13" s="275">
        <v>95250.02</v>
      </c>
      <c r="D13" s="11">
        <v>0</v>
      </c>
      <c r="E13" s="275">
        <v>0</v>
      </c>
      <c r="F13" s="14">
        <f t="shared" si="1"/>
        <v>0</v>
      </c>
      <c r="G13" s="251">
        <f t="shared" si="2"/>
        <v>95250.02</v>
      </c>
      <c r="H13" s="275">
        <v>95250.02</v>
      </c>
      <c r="I13" s="14">
        <v>0</v>
      </c>
      <c r="J13" s="14">
        <v>0</v>
      </c>
      <c r="K13" s="14">
        <f t="shared" si="3"/>
        <v>95250.02</v>
      </c>
      <c r="L13" s="15">
        <f t="shared" si="4"/>
        <v>0</v>
      </c>
      <c r="M13" s="276">
        <f t="shared" si="0"/>
        <v>0</v>
      </c>
      <c r="N13" s="280"/>
    </row>
    <row r="14" spans="1:16" x14ac:dyDescent="0.2">
      <c r="A14" s="139" t="s">
        <v>22</v>
      </c>
      <c r="B14" s="14">
        <v>573761</v>
      </c>
      <c r="C14" s="275">
        <v>173956.45</v>
      </c>
      <c r="D14" s="11">
        <v>0</v>
      </c>
      <c r="E14" s="275">
        <v>0</v>
      </c>
      <c r="F14" s="14">
        <f t="shared" si="1"/>
        <v>0</v>
      </c>
      <c r="G14" s="251">
        <f t="shared" si="2"/>
        <v>173956.45</v>
      </c>
      <c r="H14" s="275">
        <v>173956.45</v>
      </c>
      <c r="I14" s="14">
        <v>0</v>
      </c>
      <c r="J14" s="14">
        <v>0</v>
      </c>
      <c r="K14" s="14">
        <f t="shared" si="3"/>
        <v>173956.45</v>
      </c>
      <c r="L14" s="15">
        <f t="shared" si="4"/>
        <v>0</v>
      </c>
      <c r="M14" s="276">
        <f t="shared" si="0"/>
        <v>0</v>
      </c>
      <c r="N14" s="280"/>
    </row>
    <row r="15" spans="1:16" x14ac:dyDescent="0.2">
      <c r="A15" s="139" t="s">
        <v>23</v>
      </c>
      <c r="B15" s="14">
        <v>1398350</v>
      </c>
      <c r="C15" s="275">
        <v>276818.39</v>
      </c>
      <c r="D15" s="11">
        <v>0</v>
      </c>
      <c r="E15" s="275">
        <v>0</v>
      </c>
      <c r="F15" s="14">
        <f t="shared" si="1"/>
        <v>0</v>
      </c>
      <c r="G15" s="251">
        <f t="shared" si="2"/>
        <v>276818.39</v>
      </c>
      <c r="H15" s="275">
        <v>276818.39</v>
      </c>
      <c r="I15" s="14">
        <v>0</v>
      </c>
      <c r="J15" s="14">
        <v>0</v>
      </c>
      <c r="K15" s="14">
        <f t="shared" si="3"/>
        <v>276818.39</v>
      </c>
      <c r="L15" s="15">
        <f t="shared" si="4"/>
        <v>0</v>
      </c>
      <c r="M15" s="276">
        <f t="shared" si="0"/>
        <v>0</v>
      </c>
      <c r="N15" s="281"/>
    </row>
    <row r="16" spans="1:16" x14ac:dyDescent="0.2">
      <c r="A16" s="139" t="s">
        <v>24</v>
      </c>
      <c r="B16" s="14">
        <v>14692367</v>
      </c>
      <c r="C16" s="275">
        <v>3927138.09</v>
      </c>
      <c r="D16" s="11">
        <v>0</v>
      </c>
      <c r="E16" s="274">
        <v>3659640.23</v>
      </c>
      <c r="F16" s="14">
        <f t="shared" si="1"/>
        <v>0.93188478381212214</v>
      </c>
      <c r="G16" s="251">
        <f t="shared" si="2"/>
        <v>267497.85999999987</v>
      </c>
      <c r="H16" s="275">
        <v>658294.86</v>
      </c>
      <c r="I16" s="14">
        <v>0</v>
      </c>
      <c r="J16" s="14">
        <f>186585+204212</f>
        <v>390797</v>
      </c>
      <c r="K16" s="14">
        <f t="shared" si="3"/>
        <v>267497.86</v>
      </c>
      <c r="L16" s="15">
        <f t="shared" si="4"/>
        <v>0.93188478381212214</v>
      </c>
      <c r="M16" s="276">
        <f t="shared" si="0"/>
        <v>0</v>
      </c>
      <c r="N16" s="281"/>
      <c r="O16" s="151"/>
    </row>
    <row r="17" spans="1:18" x14ac:dyDescent="0.2">
      <c r="A17" s="139" t="s">
        <v>25</v>
      </c>
      <c r="B17" s="14">
        <v>1397810.64</v>
      </c>
      <c r="C17" s="275">
        <v>256562.03</v>
      </c>
      <c r="D17" s="11">
        <v>0</v>
      </c>
      <c r="E17" s="274">
        <v>39362.57</v>
      </c>
      <c r="F17" s="14">
        <f t="shared" si="1"/>
        <v>0.15342320919428334</v>
      </c>
      <c r="G17" s="251">
        <f t="shared" si="2"/>
        <v>217199.46</v>
      </c>
      <c r="H17" s="275">
        <v>217199.46</v>
      </c>
      <c r="I17" s="14">
        <v>0</v>
      </c>
      <c r="J17" s="14">
        <v>0</v>
      </c>
      <c r="K17" s="14">
        <f t="shared" si="3"/>
        <v>217199.46</v>
      </c>
      <c r="L17" s="15">
        <f t="shared" si="4"/>
        <v>0.15342320919428334</v>
      </c>
      <c r="M17" s="277">
        <f t="shared" si="0"/>
        <v>0</v>
      </c>
      <c r="N17" s="281"/>
    </row>
    <row r="18" spans="1:18" x14ac:dyDescent="0.2">
      <c r="A18" s="139" t="s">
        <v>53</v>
      </c>
      <c r="B18" s="14">
        <v>887363.87</v>
      </c>
      <c r="C18" s="275">
        <v>46.93</v>
      </c>
      <c r="D18" s="11">
        <v>0</v>
      </c>
      <c r="E18" s="275">
        <v>0</v>
      </c>
      <c r="F18" s="14">
        <v>0</v>
      </c>
      <c r="G18" s="251">
        <f t="shared" si="2"/>
        <v>46.93</v>
      </c>
      <c r="H18" s="275">
        <v>5046.93</v>
      </c>
      <c r="I18" s="14">
        <v>0</v>
      </c>
      <c r="J18" s="14">
        <v>5000</v>
      </c>
      <c r="K18" s="14">
        <f t="shared" si="3"/>
        <v>46.930000000000291</v>
      </c>
      <c r="L18" s="15">
        <f t="shared" si="4"/>
        <v>0</v>
      </c>
      <c r="M18" s="277">
        <f t="shared" si="0"/>
        <v>2.9132252166164108E-13</v>
      </c>
      <c r="N18" s="281"/>
    </row>
    <row r="19" spans="1:18" x14ac:dyDescent="0.2">
      <c r="A19" s="139" t="s">
        <v>27</v>
      </c>
      <c r="B19" s="14">
        <f>+C19</f>
        <v>0</v>
      </c>
      <c r="C19" s="275">
        <v>0</v>
      </c>
      <c r="D19" s="11">
        <v>0</v>
      </c>
      <c r="E19" s="275">
        <v>0</v>
      </c>
      <c r="F19" s="14">
        <v>0</v>
      </c>
      <c r="G19" s="251">
        <f t="shared" si="2"/>
        <v>0</v>
      </c>
      <c r="H19" s="275">
        <v>0</v>
      </c>
      <c r="I19" s="14">
        <v>0</v>
      </c>
      <c r="J19" s="14">
        <v>0</v>
      </c>
      <c r="K19" s="14">
        <f t="shared" si="3"/>
        <v>0</v>
      </c>
      <c r="L19" s="15">
        <f t="shared" si="4"/>
        <v>0</v>
      </c>
      <c r="M19" s="277">
        <f t="shared" si="0"/>
        <v>0</v>
      </c>
      <c r="N19" s="282"/>
    </row>
    <row r="20" spans="1:18" x14ac:dyDescent="0.2">
      <c r="A20" s="139" t="s">
        <v>28</v>
      </c>
      <c r="B20" s="14">
        <v>55010.61</v>
      </c>
      <c r="C20" s="275">
        <v>13494.73</v>
      </c>
      <c r="D20" s="11">
        <v>0</v>
      </c>
      <c r="E20" s="275">
        <v>0</v>
      </c>
      <c r="F20" s="14">
        <v>0</v>
      </c>
      <c r="G20" s="251">
        <f t="shared" si="2"/>
        <v>13494.73</v>
      </c>
      <c r="H20" s="275">
        <v>13494.73</v>
      </c>
      <c r="I20" s="14">
        <v>0</v>
      </c>
      <c r="J20" s="14">
        <v>0</v>
      </c>
      <c r="K20" s="14">
        <f t="shared" si="3"/>
        <v>13494.73</v>
      </c>
      <c r="L20" s="15">
        <f t="shared" si="4"/>
        <v>0</v>
      </c>
      <c r="M20" s="277">
        <f t="shared" si="0"/>
        <v>0</v>
      </c>
      <c r="N20" s="270"/>
    </row>
    <row r="21" spans="1:18" ht="27" x14ac:dyDescent="0.2">
      <c r="A21" s="139" t="s">
        <v>136</v>
      </c>
      <c r="B21" s="14">
        <v>0</v>
      </c>
      <c r="C21" s="275">
        <v>0</v>
      </c>
      <c r="D21" s="11">
        <v>0</v>
      </c>
      <c r="E21" s="275">
        <v>0</v>
      </c>
      <c r="F21" s="14">
        <v>0</v>
      </c>
      <c r="G21" s="251">
        <f t="shared" si="2"/>
        <v>0</v>
      </c>
      <c r="H21" s="275">
        <v>5000</v>
      </c>
      <c r="I21" s="14">
        <v>0</v>
      </c>
      <c r="J21" s="14">
        <v>5000</v>
      </c>
      <c r="K21" s="14">
        <f t="shared" si="3"/>
        <v>0</v>
      </c>
      <c r="L21" s="15">
        <f t="shared" si="4"/>
        <v>0</v>
      </c>
      <c r="M21" s="277">
        <f t="shared" si="0"/>
        <v>0</v>
      </c>
      <c r="N21" s="270"/>
    </row>
    <row r="22" spans="1:18" x14ac:dyDescent="0.2">
      <c r="A22" s="139" t="s">
        <v>29</v>
      </c>
      <c r="B22" s="14">
        <v>29358059</v>
      </c>
      <c r="C22" s="275">
        <v>9766528.1999999993</v>
      </c>
      <c r="D22" s="11">
        <v>0</v>
      </c>
      <c r="E22" s="275">
        <v>0</v>
      </c>
      <c r="F22" s="14">
        <f>+E22/C22</f>
        <v>0</v>
      </c>
      <c r="G22" s="251">
        <f t="shared" si="2"/>
        <v>9766528.1999999993</v>
      </c>
      <c r="H22" s="275">
        <v>9766528.1999999993</v>
      </c>
      <c r="I22" s="14">
        <v>0</v>
      </c>
      <c r="J22" s="14">
        <v>0</v>
      </c>
      <c r="K22" s="14">
        <f>H22+I22-J22</f>
        <v>9766528.1999999993</v>
      </c>
      <c r="L22" s="15">
        <f t="shared" si="4"/>
        <v>0</v>
      </c>
      <c r="M22" s="277">
        <f t="shared" si="0"/>
        <v>0</v>
      </c>
      <c r="N22" s="270"/>
    </row>
    <row r="23" spans="1:18" x14ac:dyDescent="0.2">
      <c r="A23" s="139" t="s">
        <v>30</v>
      </c>
      <c r="B23" s="14">
        <v>22883119</v>
      </c>
      <c r="C23" s="275">
        <v>6539774.7000000002</v>
      </c>
      <c r="D23" s="11">
        <v>0</v>
      </c>
      <c r="E23" s="274">
        <v>4970972.25</v>
      </c>
      <c r="F23" s="14">
        <f>+E23/C23</f>
        <v>0.7601136855677918</v>
      </c>
      <c r="G23" s="251">
        <f t="shared" si="2"/>
        <v>1568802.4500000002</v>
      </c>
      <c r="H23" s="275">
        <v>2115952.2400000002</v>
      </c>
      <c r="I23" s="14">
        <f>69.6+3300</f>
        <v>3369.6</v>
      </c>
      <c r="J23" s="14">
        <f>56285+494234.39</f>
        <v>550519.39</v>
      </c>
      <c r="K23" s="14">
        <f>H23+I23-J23</f>
        <v>1568802.4500000002</v>
      </c>
      <c r="L23" s="15">
        <f t="shared" si="4"/>
        <v>0.7601136855677918</v>
      </c>
      <c r="M23" s="277">
        <f t="shared" si="0"/>
        <v>0</v>
      </c>
      <c r="N23" s="283"/>
      <c r="Q23" s="141"/>
      <c r="R23" s="144"/>
    </row>
    <row r="24" spans="1:18" s="5" customFormat="1" x14ac:dyDescent="0.2">
      <c r="A24" s="248" t="s">
        <v>144</v>
      </c>
      <c r="B24" s="21">
        <f t="shared" ref="B24:K24" si="5">SUM(B11:B23)</f>
        <v>114771043.23999999</v>
      </c>
      <c r="C24" s="21">
        <f t="shared" si="5"/>
        <v>32516930.809999999</v>
      </c>
      <c r="D24" s="21">
        <f t="shared" si="5"/>
        <v>1162.3699999999999</v>
      </c>
      <c r="E24" s="21">
        <f t="shared" si="5"/>
        <v>17610932.460000001</v>
      </c>
      <c r="F24" s="249">
        <f t="shared" si="5"/>
        <v>3.3756159219114155</v>
      </c>
      <c r="G24" s="249">
        <f t="shared" si="5"/>
        <v>14907160.719999999</v>
      </c>
      <c r="H24" s="249">
        <f t="shared" si="5"/>
        <v>15960843.51</v>
      </c>
      <c r="I24" s="249">
        <f t="shared" si="5"/>
        <v>343520.6</v>
      </c>
      <c r="J24" s="249">
        <f t="shared" si="5"/>
        <v>1397203.3900000001</v>
      </c>
      <c r="K24" s="249">
        <f t="shared" si="5"/>
        <v>14907160.719999999</v>
      </c>
      <c r="L24" s="252"/>
      <c r="M24" s="118">
        <f>SUM(M11:M23)</f>
        <v>2.9132252166164108E-13</v>
      </c>
      <c r="N24" s="203"/>
      <c r="O24" s="143"/>
      <c r="P24" s="143"/>
    </row>
    <row r="25" spans="1:18" s="17" customFormat="1" x14ac:dyDescent="0.25">
      <c r="A25" s="139" t="s">
        <v>18</v>
      </c>
      <c r="B25" s="14">
        <f>10999097.88+238908.65</f>
        <v>11238006.530000001</v>
      </c>
      <c r="C25" s="14">
        <f>10999097.88+238908.65</f>
        <v>11238006.530000001</v>
      </c>
      <c r="D25" s="11">
        <v>0</v>
      </c>
      <c r="E25" s="14">
        <v>11056143.380000001</v>
      </c>
      <c r="F25" s="14">
        <f>+E25/C25</f>
        <v>0.98381713433654672</v>
      </c>
      <c r="G25" s="251">
        <f>+C25+D25-E25</f>
        <v>181863.15000000037</v>
      </c>
      <c r="H25" s="11">
        <f>178606.93+5000</f>
        <v>183606.93</v>
      </c>
      <c r="I25" s="14">
        <f>127254.42+10000</f>
        <v>137254.41999999998</v>
      </c>
      <c r="J25" s="14">
        <f>21634+117364.2</f>
        <v>138998.20000000001</v>
      </c>
      <c r="K25" s="14">
        <f>H25+I25-J25</f>
        <v>181863.14999999997</v>
      </c>
      <c r="L25" s="15">
        <f>+F25</f>
        <v>0.98381713433654672</v>
      </c>
      <c r="M25" s="62">
        <f t="shared" ref="M25:M40" si="6">+K25-G25</f>
        <v>-4.0745362639427185E-10</v>
      </c>
      <c r="N25" s="278"/>
      <c r="O25" s="153"/>
      <c r="P25" s="142"/>
    </row>
    <row r="26" spans="1:18" x14ac:dyDescent="0.2">
      <c r="A26" s="139" t="s">
        <v>20</v>
      </c>
      <c r="B26" s="11">
        <v>32201284.170000002</v>
      </c>
      <c r="C26" s="11">
        <v>32201284.170000002</v>
      </c>
      <c r="D26" s="11">
        <v>0</v>
      </c>
      <c r="E26" s="14">
        <v>32201284.170000002</v>
      </c>
      <c r="F26" s="14">
        <f t="shared" ref="F26:F31" si="7">+E26/C26</f>
        <v>1</v>
      </c>
      <c r="G26" s="251">
        <f t="shared" ref="G26:G40" si="8">+C26+D26-E26</f>
        <v>0</v>
      </c>
      <c r="H26" s="11">
        <f>0+1626333.07</f>
        <v>1626333.07</v>
      </c>
      <c r="I26" s="14">
        <f>50868+4200</f>
        <v>55068</v>
      </c>
      <c r="J26" s="14">
        <f>1441899+62764+176738.07</f>
        <v>1681401.07</v>
      </c>
      <c r="K26" s="14">
        <f t="shared" ref="K26:K35" si="9">H26+I26-J26</f>
        <v>0</v>
      </c>
      <c r="L26" s="15">
        <f t="shared" ref="L26:L37" si="10">+F26</f>
        <v>1</v>
      </c>
      <c r="M26" s="250">
        <f t="shared" si="6"/>
        <v>0</v>
      </c>
      <c r="N26" s="279"/>
      <c r="O26" s="151"/>
    </row>
    <row r="27" spans="1:18" x14ac:dyDescent="0.2">
      <c r="A27" s="139" t="s">
        <v>21</v>
      </c>
      <c r="B27" s="11">
        <v>375916.69</v>
      </c>
      <c r="C27" s="11">
        <v>375916.69</v>
      </c>
      <c r="D27" s="11">
        <v>0</v>
      </c>
      <c r="E27" s="11">
        <v>364122.38</v>
      </c>
      <c r="F27" s="14">
        <f t="shared" si="7"/>
        <v>0.9686252025681541</v>
      </c>
      <c r="G27" s="251">
        <f t="shared" si="8"/>
        <v>11794.309999999998</v>
      </c>
      <c r="H27" s="11">
        <v>11794.31</v>
      </c>
      <c r="I27" s="14">
        <v>0</v>
      </c>
      <c r="J27" s="14">
        <v>0</v>
      </c>
      <c r="K27" s="14">
        <f t="shared" si="9"/>
        <v>11794.31</v>
      </c>
      <c r="L27" s="15">
        <f t="shared" si="10"/>
        <v>0.9686252025681541</v>
      </c>
      <c r="M27" s="236">
        <f t="shared" si="6"/>
        <v>0</v>
      </c>
      <c r="N27" s="280"/>
    </row>
    <row r="28" spans="1:18" x14ac:dyDescent="0.2">
      <c r="A28" s="139" t="s">
        <v>22</v>
      </c>
      <c r="B28" s="11">
        <v>553292.86</v>
      </c>
      <c r="C28" s="11">
        <v>553292.86</v>
      </c>
      <c r="D28" s="11">
        <v>0</v>
      </c>
      <c r="E28" s="11">
        <v>549193.92000000004</v>
      </c>
      <c r="F28" s="14">
        <f t="shared" si="7"/>
        <v>0.99259173523403155</v>
      </c>
      <c r="G28" s="251">
        <f t="shared" si="8"/>
        <v>4098.9399999999441</v>
      </c>
      <c r="H28" s="11">
        <v>4098.9399999999996</v>
      </c>
      <c r="I28" s="14">
        <v>0</v>
      </c>
      <c r="J28" s="14">
        <v>0</v>
      </c>
      <c r="K28" s="14">
        <f t="shared" si="9"/>
        <v>4098.9399999999996</v>
      </c>
      <c r="L28" s="15">
        <f t="shared" si="10"/>
        <v>0.99259173523403155</v>
      </c>
      <c r="M28" s="236">
        <f t="shared" si="6"/>
        <v>5.5479176808148623E-11</v>
      </c>
      <c r="N28" s="280"/>
    </row>
    <row r="29" spans="1:18" x14ac:dyDescent="0.2">
      <c r="A29" s="139" t="s">
        <v>23</v>
      </c>
      <c r="B29" s="11">
        <v>1287364.3999999999</v>
      </c>
      <c r="C29" s="11">
        <v>1287364.3999999999</v>
      </c>
      <c r="D29" s="11">
        <v>0</v>
      </c>
      <c r="E29" s="11">
        <v>1286941.03</v>
      </c>
      <c r="F29" s="14">
        <f t="shared" si="7"/>
        <v>0.99967113429577525</v>
      </c>
      <c r="G29" s="251">
        <f t="shared" si="8"/>
        <v>423.36999999987893</v>
      </c>
      <c r="H29" s="11">
        <v>423.37</v>
      </c>
      <c r="I29" s="14">
        <v>0</v>
      </c>
      <c r="J29" s="14">
        <v>0</v>
      </c>
      <c r="K29" s="14">
        <f t="shared" si="9"/>
        <v>423.37</v>
      </c>
      <c r="L29" s="15">
        <f t="shared" si="10"/>
        <v>0.99967113429577525</v>
      </c>
      <c r="M29" s="236">
        <f t="shared" si="6"/>
        <v>1.2107648217352107E-10</v>
      </c>
      <c r="N29" s="281"/>
    </row>
    <row r="30" spans="1:18" x14ac:dyDescent="0.2">
      <c r="A30" s="139" t="s">
        <v>24</v>
      </c>
      <c r="B30" s="11">
        <v>15340178.58</v>
      </c>
      <c r="C30" s="11">
        <v>15340178.58</v>
      </c>
      <c r="D30" s="11">
        <v>0</v>
      </c>
      <c r="E30" s="14">
        <f>15320249.52</f>
        <v>15320249.52</v>
      </c>
      <c r="F30" s="14">
        <f t="shared" si="7"/>
        <v>0.99870085867018632</v>
      </c>
      <c r="G30" s="251">
        <f t="shared" si="8"/>
        <v>19929.060000000522</v>
      </c>
      <c r="H30" s="11">
        <v>501651.06</v>
      </c>
      <c r="I30" s="14">
        <v>0</v>
      </c>
      <c r="J30" s="14">
        <f>419314+2000+60408</f>
        <v>481722</v>
      </c>
      <c r="K30" s="14">
        <f t="shared" si="9"/>
        <v>19929.059999999998</v>
      </c>
      <c r="L30" s="15">
        <f t="shared" si="10"/>
        <v>0.99870085867018632</v>
      </c>
      <c r="M30" s="62">
        <f t="shared" si="6"/>
        <v>-5.2386894822120667E-10</v>
      </c>
      <c r="N30" s="281"/>
      <c r="O30" s="151"/>
    </row>
    <row r="31" spans="1:18" x14ac:dyDescent="0.2">
      <c r="A31" s="139" t="s">
        <v>25</v>
      </c>
      <c r="B31" s="11">
        <v>1461552.81</v>
      </c>
      <c r="C31" s="11">
        <v>1461552.81</v>
      </c>
      <c r="D31" s="11">
        <v>0</v>
      </c>
      <c r="E31" s="14">
        <v>1315379.46</v>
      </c>
      <c r="F31" s="14">
        <f t="shared" si="7"/>
        <v>0.89998763712137086</v>
      </c>
      <c r="G31" s="251">
        <f t="shared" si="8"/>
        <v>146173.35000000009</v>
      </c>
      <c r="H31" s="11">
        <v>146173.35</v>
      </c>
      <c r="I31" s="14">
        <v>0</v>
      </c>
      <c r="J31" s="14">
        <v>0</v>
      </c>
      <c r="K31" s="14">
        <f t="shared" si="9"/>
        <v>146173.35</v>
      </c>
      <c r="L31" s="15">
        <f t="shared" si="10"/>
        <v>0.89998763712137086</v>
      </c>
      <c r="M31" s="236">
        <f t="shared" si="6"/>
        <v>0</v>
      </c>
      <c r="N31" s="281"/>
    </row>
    <row r="32" spans="1:18" x14ac:dyDescent="0.2">
      <c r="A32" s="139" t="s">
        <v>53</v>
      </c>
      <c r="B32" s="11">
        <v>888239.11</v>
      </c>
      <c r="C32" s="11">
        <v>888239.11</v>
      </c>
      <c r="D32" s="11">
        <v>0</v>
      </c>
      <c r="E32" s="11">
        <v>651043.92000000004</v>
      </c>
      <c r="F32" s="14">
        <v>0</v>
      </c>
      <c r="G32" s="251">
        <f t="shared" si="8"/>
        <v>237195.18999999994</v>
      </c>
      <c r="H32" s="11">
        <v>237195.19</v>
      </c>
      <c r="I32" s="14">
        <v>0</v>
      </c>
      <c r="J32" s="14">
        <v>0</v>
      </c>
      <c r="K32" s="14">
        <f t="shared" si="9"/>
        <v>237195.19</v>
      </c>
      <c r="L32" s="15">
        <f t="shared" si="10"/>
        <v>0</v>
      </c>
      <c r="M32" s="236">
        <f t="shared" si="6"/>
        <v>0</v>
      </c>
      <c r="N32" s="281"/>
    </row>
    <row r="33" spans="1:18" x14ac:dyDescent="0.2">
      <c r="A33" s="139" t="s">
        <v>27</v>
      </c>
      <c r="B33" s="11">
        <v>0</v>
      </c>
      <c r="C33" s="11">
        <v>0</v>
      </c>
      <c r="D33" s="11">
        <v>0</v>
      </c>
      <c r="E33" s="11">
        <v>0</v>
      </c>
      <c r="F33" s="14">
        <v>0</v>
      </c>
      <c r="G33" s="251">
        <f t="shared" si="8"/>
        <v>0</v>
      </c>
      <c r="H33" s="11">
        <v>0</v>
      </c>
      <c r="I33" s="14">
        <v>0</v>
      </c>
      <c r="J33" s="14">
        <v>0</v>
      </c>
      <c r="K33" s="14">
        <f t="shared" si="9"/>
        <v>0</v>
      </c>
      <c r="L33" s="15">
        <f t="shared" si="10"/>
        <v>0</v>
      </c>
      <c r="M33" s="236">
        <f t="shared" si="6"/>
        <v>0</v>
      </c>
      <c r="N33" s="281"/>
    </row>
    <row r="34" spans="1:18" x14ac:dyDescent="0.2">
      <c r="A34" s="139" t="s">
        <v>28</v>
      </c>
      <c r="B34" s="11">
        <v>60034.41</v>
      </c>
      <c r="C34" s="11">
        <v>60034.41</v>
      </c>
      <c r="D34" s="11">
        <v>0</v>
      </c>
      <c r="E34" s="11">
        <v>36692.129999999997</v>
      </c>
      <c r="F34" s="14">
        <v>0</v>
      </c>
      <c r="G34" s="251">
        <f t="shared" si="8"/>
        <v>23342.280000000006</v>
      </c>
      <c r="H34" s="11">
        <v>23342.28</v>
      </c>
      <c r="I34" s="14">
        <v>0</v>
      </c>
      <c r="J34" s="14">
        <v>0</v>
      </c>
      <c r="K34" s="14">
        <f t="shared" si="9"/>
        <v>23342.28</v>
      </c>
      <c r="L34" s="15">
        <f t="shared" si="10"/>
        <v>0</v>
      </c>
      <c r="M34" s="236">
        <f t="shared" si="6"/>
        <v>0</v>
      </c>
      <c r="N34" s="270"/>
    </row>
    <row r="35" spans="1:18" ht="27" x14ac:dyDescent="0.2">
      <c r="A35" s="139" t="s">
        <v>136</v>
      </c>
      <c r="B35" s="11">
        <v>2201262.25</v>
      </c>
      <c r="C35" s="11">
        <v>2201262.25</v>
      </c>
      <c r="D35" s="11">
        <v>818.27</v>
      </c>
      <c r="E35" s="11">
        <v>2193712.5099999998</v>
      </c>
      <c r="F35" s="14"/>
      <c r="G35" s="251">
        <f t="shared" si="8"/>
        <v>8368.0100000002421</v>
      </c>
      <c r="H35" s="11">
        <v>8368.01</v>
      </c>
      <c r="I35" s="14">
        <v>0</v>
      </c>
      <c r="J35" s="14">
        <v>0</v>
      </c>
      <c r="K35" s="14">
        <f t="shared" si="9"/>
        <v>8368.01</v>
      </c>
      <c r="L35" s="15">
        <f t="shared" si="10"/>
        <v>0</v>
      </c>
      <c r="M35" s="236">
        <f t="shared" si="6"/>
        <v>-2.4192559067159891E-10</v>
      </c>
      <c r="N35" s="270"/>
    </row>
    <row r="36" spans="1:18" x14ac:dyDescent="0.2">
      <c r="A36" s="139" t="s">
        <v>29</v>
      </c>
      <c r="B36" s="11">
        <v>29358891.780000001</v>
      </c>
      <c r="C36" s="11">
        <v>29358891.780000001</v>
      </c>
      <c r="D36" s="11">
        <v>644200.78</v>
      </c>
      <c r="E36" s="11">
        <v>29358059.32</v>
      </c>
      <c r="F36" s="14">
        <f>+E36/C36</f>
        <v>0.99997164538749495</v>
      </c>
      <c r="G36" s="251">
        <f t="shared" si="8"/>
        <v>645033.24000000209</v>
      </c>
      <c r="H36" s="11">
        <f>27044389.8+0</f>
        <v>27044389.800000001</v>
      </c>
      <c r="I36" s="14">
        <v>2958702.76</v>
      </c>
      <c r="J36" s="14">
        <v>29358059.32</v>
      </c>
      <c r="K36" s="14">
        <f>H36+I36-J36</f>
        <v>645033.24000000209</v>
      </c>
      <c r="L36" s="15">
        <f t="shared" si="10"/>
        <v>0.99997164538749495</v>
      </c>
      <c r="M36" s="236">
        <f t="shared" si="6"/>
        <v>0</v>
      </c>
      <c r="N36" s="270"/>
    </row>
    <row r="37" spans="1:18" x14ac:dyDescent="0.2">
      <c r="A37" s="139" t="s">
        <v>30</v>
      </c>
      <c r="B37" s="11">
        <v>23067538.390000001</v>
      </c>
      <c r="C37" s="11">
        <v>23067538.390000001</v>
      </c>
      <c r="D37" s="11">
        <v>0</v>
      </c>
      <c r="E37" s="14">
        <f>23067538.39-13458.57</f>
        <v>23054079.82</v>
      </c>
      <c r="F37" s="14">
        <f>+E37/C37</f>
        <v>0.99941655803179086</v>
      </c>
      <c r="G37" s="251">
        <f t="shared" si="8"/>
        <v>13458.570000000298</v>
      </c>
      <c r="H37" s="11">
        <v>374090.59</v>
      </c>
      <c r="I37" s="14">
        <f>713.4+45970</f>
        <v>46683.4</v>
      </c>
      <c r="J37" s="14">
        <f>275061+132254.42</f>
        <v>407315.42000000004</v>
      </c>
      <c r="K37" s="14">
        <f>H37+I37-J37</f>
        <v>13458.570000000007</v>
      </c>
      <c r="L37" s="15">
        <f t="shared" si="10"/>
        <v>0.99941655803179086</v>
      </c>
      <c r="M37" s="107">
        <f t="shared" si="6"/>
        <v>-2.9103830456733704E-10</v>
      </c>
      <c r="N37" s="284" t="s">
        <v>52</v>
      </c>
      <c r="Q37" s="141"/>
      <c r="R37" s="144"/>
    </row>
    <row r="38" spans="1:18" x14ac:dyDescent="0.2">
      <c r="A38" s="139" t="s">
        <v>57</v>
      </c>
      <c r="B38" s="11">
        <v>1483495.05</v>
      </c>
      <c r="C38" s="11">
        <v>1483495.05</v>
      </c>
      <c r="D38" s="11">
        <v>4256.42</v>
      </c>
      <c r="E38" s="14">
        <v>1461506.21</v>
      </c>
      <c r="F38" s="14">
        <f>+E38/C38</f>
        <v>0.98517767888743535</v>
      </c>
      <c r="G38" s="251">
        <f t="shared" si="8"/>
        <v>26245.260000000009</v>
      </c>
      <c r="H38" s="11">
        <v>26245.26</v>
      </c>
      <c r="I38" s="14">
        <v>0</v>
      </c>
      <c r="J38" s="14">
        <v>0</v>
      </c>
      <c r="K38" s="14">
        <f>H38+I38-J38</f>
        <v>26245.26</v>
      </c>
      <c r="L38" s="15">
        <f>+F38</f>
        <v>0.98517767888743535</v>
      </c>
      <c r="M38" s="107">
        <f t="shared" si="6"/>
        <v>0</v>
      </c>
      <c r="N38" s="284"/>
      <c r="Q38" s="141"/>
      <c r="R38" s="144"/>
    </row>
    <row r="39" spans="1:18" x14ac:dyDescent="0.2">
      <c r="A39" s="139" t="s">
        <v>139</v>
      </c>
      <c r="B39" s="14">
        <v>1364024.1</v>
      </c>
      <c r="C39" s="14">
        <v>1364024.1</v>
      </c>
      <c r="D39" s="11">
        <f>940.83+935.1+658.75</f>
        <v>2534.6800000000003</v>
      </c>
      <c r="E39" s="14">
        <v>1364018.1</v>
      </c>
      <c r="F39" s="14">
        <f>+E39/C39</f>
        <v>0.99999560125074038</v>
      </c>
      <c r="G39" s="251">
        <f t="shared" si="8"/>
        <v>2540.6799999999348</v>
      </c>
      <c r="H39" s="11">
        <v>957353.35</v>
      </c>
      <c r="I39" s="14">
        <v>409205.43</v>
      </c>
      <c r="J39" s="14">
        <v>1364018.1</v>
      </c>
      <c r="K39" s="14">
        <f>H39+I39-J39</f>
        <v>2540.6799999999348</v>
      </c>
      <c r="L39" s="15">
        <f>+F39</f>
        <v>0.99999560125074038</v>
      </c>
      <c r="M39" s="107">
        <f t="shared" si="6"/>
        <v>0</v>
      </c>
      <c r="N39" s="284"/>
      <c r="Q39" s="141"/>
      <c r="R39" s="144"/>
    </row>
    <row r="40" spans="1:18" ht="40.5" x14ac:dyDescent="0.2">
      <c r="A40" s="139" t="s">
        <v>135</v>
      </c>
      <c r="B40" s="11">
        <v>199999.99</v>
      </c>
      <c r="C40" s="11">
        <v>199999.99</v>
      </c>
      <c r="D40" s="11">
        <f>113.52+264.05+123.8+26.23</f>
        <v>527.6</v>
      </c>
      <c r="E40" s="14">
        <v>199730.99</v>
      </c>
      <c r="F40" s="14">
        <f>+E40/C40</f>
        <v>0.99865499993274998</v>
      </c>
      <c r="G40" s="251">
        <f t="shared" si="8"/>
        <v>796.60000000000582</v>
      </c>
      <c r="H40" s="11">
        <v>683.08</v>
      </c>
      <c r="I40" s="14">
        <f>180000+5000</f>
        <v>185000</v>
      </c>
      <c r="J40" s="14">
        <f>102106.79+5000+77779.69</f>
        <v>184886.47999999998</v>
      </c>
      <c r="K40" s="14">
        <f>H40+I40-J40</f>
        <v>796.60000000000582</v>
      </c>
      <c r="L40" s="15">
        <f>+F40</f>
        <v>0.99865499993274998</v>
      </c>
      <c r="M40" s="107">
        <f t="shared" si="6"/>
        <v>0</v>
      </c>
      <c r="N40" s="284"/>
      <c r="Q40" s="141"/>
      <c r="R40" s="144"/>
    </row>
    <row r="41" spans="1:18" s="5" customFormat="1" x14ac:dyDescent="0.2">
      <c r="A41" s="248" t="s">
        <v>60</v>
      </c>
      <c r="B41" s="21">
        <f t="shared" ref="B41:K41" si="11">SUM(B25:B40)</f>
        <v>121081081.11999999</v>
      </c>
      <c r="C41" s="21">
        <f t="shared" si="11"/>
        <v>121081081.11999999</v>
      </c>
      <c r="D41" s="21">
        <f t="shared" si="11"/>
        <v>652337.75000000012</v>
      </c>
      <c r="E41" s="21">
        <f t="shared" si="11"/>
        <v>120412156.85999998</v>
      </c>
      <c r="F41" s="249">
        <f t="shared" si="11"/>
        <v>11.826610185716277</v>
      </c>
      <c r="G41" s="249">
        <f t="shared" si="11"/>
        <v>1321262.0100000035</v>
      </c>
      <c r="H41" s="249">
        <f t="shared" si="11"/>
        <v>31145748.590000004</v>
      </c>
      <c r="I41" s="249">
        <f t="shared" si="11"/>
        <v>3791914.01</v>
      </c>
      <c r="J41" s="249">
        <f t="shared" si="11"/>
        <v>33616400.590000004</v>
      </c>
      <c r="K41" s="249">
        <f t="shared" si="11"/>
        <v>1321262.0100000021</v>
      </c>
      <c r="L41" s="252"/>
      <c r="M41" s="118">
        <f>SUM(M25:M40)</f>
        <v>-1.2877308108727448E-9</v>
      </c>
      <c r="N41" s="203"/>
      <c r="O41" s="143"/>
      <c r="P41" s="143"/>
    </row>
    <row r="42" spans="1:18" s="17" customFormat="1" x14ac:dyDescent="0.25">
      <c r="A42" s="139" t="s">
        <v>18</v>
      </c>
      <c r="B42" s="10">
        <v>9668787.5</v>
      </c>
      <c r="C42" s="10">
        <f>+B42-8808992.11</f>
        <v>859795.3900000006</v>
      </c>
      <c r="D42" s="11">
        <v>0</v>
      </c>
      <c r="E42" s="10">
        <v>126202.22</v>
      </c>
      <c r="F42" s="12">
        <f>+E42/C42</f>
        <v>0.14678168953662327</v>
      </c>
      <c r="G42" s="109">
        <f t="shared" ref="G42:G55" si="12">+C42+D42-E42</f>
        <v>733593.17000000062</v>
      </c>
      <c r="H42" s="11">
        <v>760336.44</v>
      </c>
      <c r="I42" s="14">
        <f>35750.7+49054.32+10000+17400</f>
        <v>112205.01999999999</v>
      </c>
      <c r="J42" s="14">
        <f>42293+3275.91+3277.52+90101.86</f>
        <v>138948.29</v>
      </c>
      <c r="K42" s="14">
        <f>H42+I42-J42</f>
        <v>733593.16999999993</v>
      </c>
      <c r="L42" s="15">
        <f>+F42</f>
        <v>0.14678168953662327</v>
      </c>
      <c r="M42" s="62">
        <f t="shared" ref="M42:M55" si="13">+K42-G42</f>
        <v>0</v>
      </c>
      <c r="N42" s="271"/>
      <c r="O42" s="153"/>
      <c r="P42" s="142"/>
    </row>
    <row r="43" spans="1:18" x14ac:dyDescent="0.2">
      <c r="A43" s="262" t="s">
        <v>20</v>
      </c>
      <c r="B43" s="109">
        <v>27138333.23</v>
      </c>
      <c r="C43" s="109">
        <v>27138333.23</v>
      </c>
      <c r="D43" s="261">
        <v>0</v>
      </c>
      <c r="E43" s="109">
        <f>26415966.23+831927-8117.68</f>
        <v>27239775.550000001</v>
      </c>
      <c r="F43" s="263">
        <f t="shared" ref="F43:F48" si="14">+E43/C43</f>
        <v>1.003737971641083</v>
      </c>
      <c r="G43" s="109">
        <f t="shared" si="12"/>
        <v>-101442.3200000003</v>
      </c>
      <c r="H43" s="264">
        <v>391978.01</v>
      </c>
      <c r="I43" s="201">
        <v>37944</v>
      </c>
      <c r="J43" s="201">
        <f>326678+16708.93+21550.06+166427.34</f>
        <v>531364.32999999996</v>
      </c>
      <c r="K43" s="201">
        <f t="shared" ref="K43:K50" si="15">H43+I43-J43</f>
        <v>-101442.31999999995</v>
      </c>
      <c r="L43" s="265">
        <f t="shared" ref="L43:L55" si="16">+F43</f>
        <v>1.003737971641083</v>
      </c>
      <c r="M43" s="62">
        <f t="shared" si="13"/>
        <v>3.4924596548080444E-10</v>
      </c>
      <c r="N43" s="272"/>
      <c r="O43" s="151"/>
    </row>
    <row r="44" spans="1:18" x14ac:dyDescent="0.2">
      <c r="A44" s="139" t="s">
        <v>21</v>
      </c>
      <c r="B44" s="10">
        <v>321506.03999999998</v>
      </c>
      <c r="C44" s="10">
        <f>+B44-280892.37</f>
        <v>40613.669999999984</v>
      </c>
      <c r="D44" s="11">
        <v>0</v>
      </c>
      <c r="E44" s="11">
        <v>40613.67</v>
      </c>
      <c r="F44" s="12">
        <f t="shared" si="14"/>
        <v>1.0000000000000004</v>
      </c>
      <c r="G44" s="109">
        <f t="shared" si="12"/>
        <v>0</v>
      </c>
      <c r="H44" s="13">
        <v>0</v>
      </c>
      <c r="I44" s="14">
        <v>0</v>
      </c>
      <c r="J44" s="14">
        <v>0</v>
      </c>
      <c r="K44" s="14">
        <f t="shared" si="15"/>
        <v>0</v>
      </c>
      <c r="L44" s="15">
        <f t="shared" si="16"/>
        <v>1.0000000000000004</v>
      </c>
      <c r="M44" s="62">
        <f t="shared" si="13"/>
        <v>0</v>
      </c>
    </row>
    <row r="45" spans="1:18" x14ac:dyDescent="0.2">
      <c r="A45" s="139" t="s">
        <v>22</v>
      </c>
      <c r="B45" s="10">
        <v>570803.89</v>
      </c>
      <c r="C45" s="10">
        <f>+B45-491970.23</f>
        <v>78833.660000000033</v>
      </c>
      <c r="D45" s="11">
        <v>0</v>
      </c>
      <c r="E45" s="11">
        <v>78833.66</v>
      </c>
      <c r="F45" s="12">
        <f t="shared" si="14"/>
        <v>0.99999999999999967</v>
      </c>
      <c r="G45" s="109">
        <f t="shared" si="12"/>
        <v>0</v>
      </c>
      <c r="H45" s="13">
        <v>0</v>
      </c>
      <c r="I45" s="14">
        <v>0</v>
      </c>
      <c r="J45" s="14">
        <v>0</v>
      </c>
      <c r="K45" s="14">
        <f t="shared" si="15"/>
        <v>0</v>
      </c>
      <c r="L45" s="15">
        <f t="shared" si="16"/>
        <v>0.99999999999999967</v>
      </c>
      <c r="M45" s="62">
        <f t="shared" si="13"/>
        <v>0</v>
      </c>
    </row>
    <row r="46" spans="1:18" x14ac:dyDescent="0.2">
      <c r="A46" s="139" t="s">
        <v>23</v>
      </c>
      <c r="B46" s="10">
        <v>1307693.44</v>
      </c>
      <c r="C46" s="10">
        <f>+B46-1273287.15</f>
        <v>34406.290000000037</v>
      </c>
      <c r="D46" s="11">
        <v>0</v>
      </c>
      <c r="E46" s="11">
        <v>34406.29</v>
      </c>
      <c r="F46" s="12">
        <f t="shared" si="14"/>
        <v>0.99999999999999889</v>
      </c>
      <c r="G46" s="109">
        <f t="shared" si="12"/>
        <v>0</v>
      </c>
      <c r="H46" s="13">
        <v>0</v>
      </c>
      <c r="I46" s="14">
        <v>0</v>
      </c>
      <c r="J46" s="14">
        <v>0</v>
      </c>
      <c r="K46" s="14">
        <f t="shared" si="15"/>
        <v>0</v>
      </c>
      <c r="L46" s="15">
        <f t="shared" si="16"/>
        <v>0.99999999999999889</v>
      </c>
      <c r="M46" s="62">
        <f t="shared" si="13"/>
        <v>0</v>
      </c>
    </row>
    <row r="47" spans="1:18" x14ac:dyDescent="0.2">
      <c r="A47" s="139" t="s">
        <v>24</v>
      </c>
      <c r="B47" s="10">
        <v>14234360.859999999</v>
      </c>
      <c r="C47" s="10">
        <f>+B47-14197791.76</f>
        <v>36569.099999999627</v>
      </c>
      <c r="D47" s="11">
        <v>0</v>
      </c>
      <c r="E47" s="10">
        <v>208.8</v>
      </c>
      <c r="F47" s="12">
        <f t="shared" si="14"/>
        <v>5.7097385497592813E-3</v>
      </c>
      <c r="G47" s="109">
        <f t="shared" si="12"/>
        <v>36360.299999999625</v>
      </c>
      <c r="H47" s="13">
        <v>-340080.7</v>
      </c>
      <c r="I47" s="14">
        <v>782752</v>
      </c>
      <c r="J47" s="14">
        <f>280823+125488</f>
        <v>406311</v>
      </c>
      <c r="K47" s="14">
        <f t="shared" si="15"/>
        <v>36360.299999999988</v>
      </c>
      <c r="L47" s="15">
        <f t="shared" si="16"/>
        <v>5.7097385497592813E-3</v>
      </c>
      <c r="M47" s="62">
        <f t="shared" si="13"/>
        <v>3.637978807091713E-10</v>
      </c>
      <c r="O47" s="151"/>
    </row>
    <row r="48" spans="1:18" x14ac:dyDescent="0.2">
      <c r="A48" s="139" t="s">
        <v>25</v>
      </c>
      <c r="B48" s="10">
        <v>658261.61</v>
      </c>
      <c r="C48" s="10">
        <f>+B48-367499.68</f>
        <v>290761.93</v>
      </c>
      <c r="D48" s="11">
        <v>0</v>
      </c>
      <c r="E48" s="10">
        <v>281389.86</v>
      </c>
      <c r="F48" s="12">
        <f t="shared" si="14"/>
        <v>0.96776720391146109</v>
      </c>
      <c r="G48" s="109">
        <f t="shared" si="12"/>
        <v>9372.070000000007</v>
      </c>
      <c r="H48" s="13">
        <v>56340.94</v>
      </c>
      <c r="I48" s="14">
        <v>0</v>
      </c>
      <c r="J48" s="14">
        <v>46968.87</v>
      </c>
      <c r="K48" s="14">
        <f t="shared" si="15"/>
        <v>9372.07</v>
      </c>
      <c r="L48" s="15">
        <f t="shared" si="16"/>
        <v>0.96776720391146109</v>
      </c>
      <c r="M48" s="62">
        <f t="shared" si="13"/>
        <v>0</v>
      </c>
    </row>
    <row r="49" spans="1:18" x14ac:dyDescent="0.2">
      <c r="A49" s="139" t="s">
        <v>53</v>
      </c>
      <c r="B49" s="10">
        <v>158979.12</v>
      </c>
      <c r="C49" s="10">
        <f>+B49</f>
        <v>158979.12</v>
      </c>
      <c r="D49" s="11">
        <v>0</v>
      </c>
      <c r="E49" s="11">
        <v>120000</v>
      </c>
      <c r="F49" s="12">
        <v>0</v>
      </c>
      <c r="G49" s="201">
        <f t="shared" si="12"/>
        <v>38979.119999999995</v>
      </c>
      <c r="H49" s="11">
        <v>43979.12</v>
      </c>
      <c r="I49" s="14">
        <v>0</v>
      </c>
      <c r="J49" s="14">
        <v>5000</v>
      </c>
      <c r="K49" s="14">
        <f t="shared" si="15"/>
        <v>38979.120000000003</v>
      </c>
      <c r="L49" s="15">
        <f t="shared" si="16"/>
        <v>0</v>
      </c>
      <c r="M49" s="62">
        <f t="shared" si="13"/>
        <v>0</v>
      </c>
    </row>
    <row r="50" spans="1:18" x14ac:dyDescent="0.2">
      <c r="A50" s="139" t="s">
        <v>28</v>
      </c>
      <c r="B50" s="10">
        <v>47798.07</v>
      </c>
      <c r="C50" s="10">
        <f>+B50-23516.14</f>
        <v>24281.93</v>
      </c>
      <c r="D50" s="11">
        <v>0</v>
      </c>
      <c r="E50" s="11">
        <v>0</v>
      </c>
      <c r="F50" s="12">
        <v>0</v>
      </c>
      <c r="G50" s="201">
        <f t="shared" si="12"/>
        <v>24281.93</v>
      </c>
      <c r="H50" s="11">
        <v>24281.93</v>
      </c>
      <c r="I50" s="14">
        <v>0</v>
      </c>
      <c r="J50" s="14">
        <v>0</v>
      </c>
      <c r="K50" s="14">
        <f t="shared" si="15"/>
        <v>24281.93</v>
      </c>
      <c r="L50" s="15">
        <f t="shared" si="16"/>
        <v>0</v>
      </c>
      <c r="M50" s="62">
        <f t="shared" si="13"/>
        <v>0</v>
      </c>
      <c r="N50" s="270"/>
    </row>
    <row r="51" spans="1:18" x14ac:dyDescent="0.2">
      <c r="A51" s="139" t="s">
        <v>29</v>
      </c>
      <c r="B51" s="10">
        <v>27972730</v>
      </c>
      <c r="C51" s="10">
        <f>+B51-27809818.06</f>
        <v>162911.94000000134</v>
      </c>
      <c r="D51" s="11">
        <v>186451.15</v>
      </c>
      <c r="E51" s="11">
        <v>0</v>
      </c>
      <c r="F51" s="12">
        <f>+E51/C51</f>
        <v>0</v>
      </c>
      <c r="G51" s="109">
        <f t="shared" si="12"/>
        <v>349363.09000000136</v>
      </c>
      <c r="H51" s="13">
        <v>656033.13</v>
      </c>
      <c r="I51" s="14">
        <f>-1</f>
        <v>-1</v>
      </c>
      <c r="J51" s="14">
        <f>219666.96+67322.53+19679.55</f>
        <v>306669.03999999998</v>
      </c>
      <c r="K51" s="14">
        <f>H51+I51-J51</f>
        <v>349363.09</v>
      </c>
      <c r="L51" s="15">
        <f t="shared" si="16"/>
        <v>0</v>
      </c>
      <c r="M51" s="62">
        <f t="shared" si="13"/>
        <v>-1.3387762010097504E-9</v>
      </c>
      <c r="N51" s="272"/>
    </row>
    <row r="52" spans="1:18" x14ac:dyDescent="0.2">
      <c r="A52" s="139" t="s">
        <v>30</v>
      </c>
      <c r="B52" s="10">
        <v>21170988.52</v>
      </c>
      <c r="C52" s="10">
        <f>+B52-21163370.79</f>
        <v>7617.730000000447</v>
      </c>
      <c r="D52" s="11">
        <v>0</v>
      </c>
      <c r="E52" s="10">
        <v>0</v>
      </c>
      <c r="F52" s="12">
        <f>+E52/C52</f>
        <v>0</v>
      </c>
      <c r="G52" s="109">
        <f t="shared" si="12"/>
        <v>7617.730000000447</v>
      </c>
      <c r="H52" s="13">
        <v>113156.96</v>
      </c>
      <c r="I52" s="14">
        <f>63664.06+25043.71</f>
        <v>88707.76999999999</v>
      </c>
      <c r="J52" s="14">
        <f>170257+6000+17990</f>
        <v>194247</v>
      </c>
      <c r="K52" s="14">
        <f>H52+I52-J52</f>
        <v>7617.7299999999814</v>
      </c>
      <c r="L52" s="15">
        <f t="shared" si="16"/>
        <v>0</v>
      </c>
      <c r="M52" s="107">
        <f t="shared" si="13"/>
        <v>-4.6566128730773926E-10</v>
      </c>
      <c r="N52" s="273"/>
      <c r="Q52" s="141"/>
      <c r="R52" s="144"/>
    </row>
    <row r="53" spans="1:18" ht="27" x14ac:dyDescent="0.2">
      <c r="A53" s="139" t="s">
        <v>56</v>
      </c>
      <c r="B53" s="10">
        <v>1500000</v>
      </c>
      <c r="C53" s="10">
        <f>1500000-1499965.2</f>
        <v>34.800000000046566</v>
      </c>
      <c r="D53" s="11">
        <v>0</v>
      </c>
      <c r="E53" s="10">
        <v>0</v>
      </c>
      <c r="F53" s="12">
        <f>+E53/C53</f>
        <v>0</v>
      </c>
      <c r="G53" s="109">
        <f t="shared" si="12"/>
        <v>34.800000000046566</v>
      </c>
      <c r="H53" s="13">
        <v>34.799999999999997</v>
      </c>
      <c r="I53" s="14">
        <v>0</v>
      </c>
      <c r="J53" s="14">
        <v>0</v>
      </c>
      <c r="K53" s="14">
        <f>H53+I53-J53</f>
        <v>34.799999999999997</v>
      </c>
      <c r="L53" s="15">
        <f t="shared" si="16"/>
        <v>0</v>
      </c>
      <c r="M53" s="107">
        <f t="shared" si="13"/>
        <v>-4.6568970901716966E-11</v>
      </c>
      <c r="N53" s="273"/>
      <c r="Q53" s="141"/>
      <c r="R53" s="144"/>
    </row>
    <row r="54" spans="1:18" x14ac:dyDescent="0.2">
      <c r="A54" s="139" t="s">
        <v>58</v>
      </c>
      <c r="B54" s="10">
        <v>8800000</v>
      </c>
      <c r="C54" s="10">
        <f>+B54-8793327.97</f>
        <v>6672.0299999993294</v>
      </c>
      <c r="D54" s="11">
        <v>0</v>
      </c>
      <c r="E54" s="10">
        <v>0</v>
      </c>
      <c r="F54" s="12">
        <f>+E54/C54</f>
        <v>0</v>
      </c>
      <c r="G54" s="109">
        <f t="shared" si="12"/>
        <v>6672.0299999993294</v>
      </c>
      <c r="H54" s="13">
        <v>136749.53</v>
      </c>
      <c r="I54" s="14">
        <v>0</v>
      </c>
      <c r="J54" s="14">
        <f>75804.55+37902.27+11370.68+5000</f>
        <v>130077.5</v>
      </c>
      <c r="K54" s="14">
        <f>H54+I54-J54</f>
        <v>6672.0299999999988</v>
      </c>
      <c r="L54" s="15">
        <f t="shared" si="16"/>
        <v>0</v>
      </c>
      <c r="M54" s="107">
        <f t="shared" si="13"/>
        <v>6.6938810050487518E-10</v>
      </c>
      <c r="N54" s="273"/>
      <c r="Q54" s="141"/>
      <c r="R54" s="144"/>
    </row>
    <row r="55" spans="1:18" x14ac:dyDescent="0.2">
      <c r="A55" s="139" t="s">
        <v>57</v>
      </c>
      <c r="B55" s="10">
        <v>3362600</v>
      </c>
      <c r="C55" s="10">
        <f>+B55-3361389.36</f>
        <v>1210.6400000001304</v>
      </c>
      <c r="D55" s="11">
        <v>0</v>
      </c>
      <c r="E55" s="10">
        <v>0</v>
      </c>
      <c r="F55" s="12">
        <f>+E55/C55</f>
        <v>0</v>
      </c>
      <c r="G55" s="109">
        <f t="shared" si="12"/>
        <v>1210.6400000001304</v>
      </c>
      <c r="H55" s="13">
        <v>54023.49</v>
      </c>
      <c r="I55" s="14">
        <v>0</v>
      </c>
      <c r="J55" s="14">
        <f>28977.48+14488.74+4346.63+5000</f>
        <v>52812.85</v>
      </c>
      <c r="K55" s="14">
        <f>H55+I55-J55</f>
        <v>1210.6399999999994</v>
      </c>
      <c r="L55" s="15">
        <f t="shared" si="16"/>
        <v>0</v>
      </c>
      <c r="M55" s="107">
        <f t="shared" si="13"/>
        <v>-1.3096723705530167E-10</v>
      </c>
      <c r="N55" s="273"/>
      <c r="Q55" s="141"/>
      <c r="R55" s="144"/>
    </row>
    <row r="56" spans="1:18" s="5" customFormat="1" x14ac:dyDescent="0.2">
      <c r="A56" s="20" t="s">
        <v>51</v>
      </c>
      <c r="B56" s="21">
        <f t="shared" ref="B56:K56" si="17">SUM(B42:B52)</f>
        <v>103250242.27999999</v>
      </c>
      <c r="C56" s="21">
        <f t="shared" si="17"/>
        <v>28833103.990000006</v>
      </c>
      <c r="D56" s="21">
        <f t="shared" si="17"/>
        <v>186451.15</v>
      </c>
      <c r="E56" s="21">
        <f t="shared" si="17"/>
        <v>27921430.050000001</v>
      </c>
      <c r="F56" s="21">
        <f t="shared" si="17"/>
        <v>5.1239966036389255</v>
      </c>
      <c r="G56" s="21">
        <f t="shared" si="17"/>
        <v>1098125.0900000017</v>
      </c>
      <c r="H56" s="21">
        <f t="shared" si="17"/>
        <v>1706025.83</v>
      </c>
      <c r="I56" s="21">
        <f t="shared" si="17"/>
        <v>1021607.79</v>
      </c>
      <c r="J56" s="21">
        <f t="shared" si="17"/>
        <v>1629508.5300000003</v>
      </c>
      <c r="K56" s="21">
        <f t="shared" si="17"/>
        <v>1098125.0899999999</v>
      </c>
      <c r="L56" s="23"/>
      <c r="M56" s="61"/>
      <c r="N56" s="203"/>
      <c r="O56" s="143"/>
      <c r="P56" s="143"/>
    </row>
    <row r="57" spans="1:18" s="17" customFormat="1" x14ac:dyDescent="0.25">
      <c r="A57" s="139" t="s">
        <v>18</v>
      </c>
      <c r="B57" s="10">
        <f>+C57</f>
        <v>557287.6400000006</v>
      </c>
      <c r="C57" s="10">
        <f>9497181.34-8522902.7-416991</f>
        <v>557287.6400000006</v>
      </c>
      <c r="D57" s="11">
        <v>0</v>
      </c>
      <c r="E57" s="10">
        <v>2038.23</v>
      </c>
      <c r="F57" s="12">
        <f>+E57/C57</f>
        <v>3.657411099230548E-3</v>
      </c>
      <c r="G57" s="10">
        <f>+C57+D57-E57</f>
        <v>555249.41000000061</v>
      </c>
      <c r="H57" s="13">
        <f>362224.72-0.47</f>
        <v>362224.25</v>
      </c>
      <c r="I57" s="14">
        <f>22013.2+172259.48</f>
        <v>194272.68000000002</v>
      </c>
      <c r="J57" s="14">
        <f>-4302.52+5550.04</f>
        <v>1247.5199999999995</v>
      </c>
      <c r="K57" s="14">
        <f>H57+I57-J57</f>
        <v>555249.41</v>
      </c>
      <c r="L57" s="15">
        <f>+F57</f>
        <v>3.657411099230548E-3</v>
      </c>
      <c r="M57" s="155">
        <f t="shared" ref="M57:M66" si="18">+K57-G57</f>
        <v>0</v>
      </c>
      <c r="N57" s="187"/>
      <c r="O57" s="142"/>
      <c r="P57" s="142"/>
    </row>
    <row r="58" spans="1:18" x14ac:dyDescent="0.2">
      <c r="A58" s="139" t="s">
        <v>20</v>
      </c>
      <c r="B58" s="10">
        <v>0</v>
      </c>
      <c r="C58" s="10">
        <f>981063.54-174602.54</f>
        <v>806461</v>
      </c>
      <c r="D58" s="11">
        <v>0</v>
      </c>
      <c r="E58" s="10">
        <v>0</v>
      </c>
      <c r="F58" s="12">
        <f t="shared" ref="F58:F67" si="19">+E58/C58</f>
        <v>0</v>
      </c>
      <c r="G58" s="10">
        <f>+C58+D58-E58</f>
        <v>806461</v>
      </c>
      <c r="H58" s="13">
        <v>1795340.56</v>
      </c>
      <c r="I58" s="14">
        <v>1162</v>
      </c>
      <c r="J58" s="14">
        <f>272555.03+160187.53+557299</f>
        <v>990041.56</v>
      </c>
      <c r="K58" s="14">
        <f t="shared" ref="K58:K83" si="20">H58+I58-J58</f>
        <v>806461</v>
      </c>
      <c r="L58" s="15">
        <f t="shared" ref="L58:L67" si="21">+F58</f>
        <v>0</v>
      </c>
      <c r="M58" s="62">
        <f>+K58-G58</f>
        <v>0</v>
      </c>
      <c r="N58" s="272"/>
    </row>
    <row r="59" spans="1:18" x14ac:dyDescent="0.2">
      <c r="A59" s="139" t="s">
        <v>21</v>
      </c>
      <c r="B59" s="10">
        <f t="shared" ref="B59:B67" si="22">+C59</f>
        <v>465.82999999998719</v>
      </c>
      <c r="C59" s="10">
        <f>266576.99-80893-185218.16</f>
        <v>465.82999999998719</v>
      </c>
      <c r="D59" s="11">
        <v>0</v>
      </c>
      <c r="E59" s="10">
        <v>0</v>
      </c>
      <c r="F59" s="12">
        <f t="shared" si="19"/>
        <v>0</v>
      </c>
      <c r="G59" s="10">
        <f>+C59+D59-E59</f>
        <v>465.82999999998719</v>
      </c>
      <c r="H59" s="13">
        <v>465.83</v>
      </c>
      <c r="I59" s="14">
        <v>0</v>
      </c>
      <c r="J59" s="14">
        <v>0</v>
      </c>
      <c r="K59" s="14">
        <f t="shared" si="20"/>
        <v>465.83</v>
      </c>
      <c r="L59" s="15">
        <f t="shared" si="21"/>
        <v>0</v>
      </c>
      <c r="M59" s="155">
        <f t="shared" si="18"/>
        <v>1.2789769243681803E-11</v>
      </c>
    </row>
    <row r="60" spans="1:18" x14ac:dyDescent="0.2">
      <c r="A60" s="139" t="s">
        <v>22</v>
      </c>
      <c r="B60" s="10">
        <f t="shared" si="22"/>
        <v>6067.4599999999627</v>
      </c>
      <c r="C60" s="10">
        <f>375412.66-201977-167368.2</f>
        <v>6067.4599999999627</v>
      </c>
      <c r="D60" s="10">
        <v>149.51</v>
      </c>
      <c r="E60" s="10">
        <v>0</v>
      </c>
      <c r="F60" s="12">
        <f t="shared" si="19"/>
        <v>0</v>
      </c>
      <c r="G60" s="10">
        <f t="shared" ref="G60:G65" si="23">+C60+D60-E60</f>
        <v>6216.969999999963</v>
      </c>
      <c r="H60" s="13">
        <v>6216.97</v>
      </c>
      <c r="I60" s="14">
        <v>0</v>
      </c>
      <c r="J60" s="14">
        <v>0</v>
      </c>
      <c r="K60" s="14">
        <f t="shared" si="20"/>
        <v>6216.97</v>
      </c>
      <c r="L60" s="15">
        <f t="shared" si="21"/>
        <v>0</v>
      </c>
      <c r="M60" s="62">
        <f t="shared" si="18"/>
        <v>3.7289282772690058E-11</v>
      </c>
    </row>
    <row r="61" spans="1:18" x14ac:dyDescent="0.2">
      <c r="A61" s="139" t="s">
        <v>23</v>
      </c>
      <c r="B61" s="10">
        <f t="shared" si="22"/>
        <v>17016.04999999993</v>
      </c>
      <c r="C61" s="10">
        <f>1302246.39-788192.61-497037.73</f>
        <v>17016.04999999993</v>
      </c>
      <c r="D61" s="10">
        <v>408.58</v>
      </c>
      <c r="E61" s="10">
        <v>0</v>
      </c>
      <c r="F61" s="12">
        <f t="shared" si="19"/>
        <v>0</v>
      </c>
      <c r="G61" s="10">
        <f t="shared" si="23"/>
        <v>17424.629999999932</v>
      </c>
      <c r="H61" s="13">
        <v>17424.63</v>
      </c>
      <c r="I61" s="14">
        <v>0</v>
      </c>
      <c r="J61" s="14">
        <v>0</v>
      </c>
      <c r="K61" s="14">
        <f t="shared" si="20"/>
        <v>17424.63</v>
      </c>
      <c r="L61" s="15">
        <f t="shared" si="21"/>
        <v>0</v>
      </c>
      <c r="M61" s="155">
        <f t="shared" si="18"/>
        <v>6.9121597334742546E-11</v>
      </c>
    </row>
    <row r="62" spans="1:18" x14ac:dyDescent="0.2">
      <c r="A62" s="139" t="s">
        <v>24</v>
      </c>
      <c r="B62" s="10">
        <f t="shared" si="22"/>
        <v>412246.5499999997</v>
      </c>
      <c r="C62" s="10">
        <f>13636634.35-13212786.17-11601.63</f>
        <v>412246.5499999997</v>
      </c>
      <c r="D62" s="11">
        <v>-459</v>
      </c>
      <c r="E62" s="10">
        <v>0</v>
      </c>
      <c r="F62" s="12">
        <f t="shared" si="19"/>
        <v>0</v>
      </c>
      <c r="G62" s="10">
        <f>+C62+D62-E62</f>
        <v>411787.5499999997</v>
      </c>
      <c r="H62" s="13">
        <v>37530.339999999997</v>
      </c>
      <c r="I62" s="14">
        <v>456237</v>
      </c>
      <c r="J62" s="14">
        <f>52394.42+7312.79+22272.58</f>
        <v>81979.790000000008</v>
      </c>
      <c r="K62" s="14">
        <f t="shared" si="20"/>
        <v>411787.54999999993</v>
      </c>
      <c r="L62" s="15">
        <f t="shared" si="21"/>
        <v>0</v>
      </c>
      <c r="M62" s="62">
        <f t="shared" si="18"/>
        <v>0</v>
      </c>
    </row>
    <row r="63" spans="1:18" x14ac:dyDescent="0.2">
      <c r="A63" s="139" t="s">
        <v>25</v>
      </c>
      <c r="B63" s="10">
        <f t="shared" si="22"/>
        <v>5151.3900000000722</v>
      </c>
      <c r="C63" s="10">
        <f>868753.03-542712.97-320888.67</f>
        <v>5151.3900000000722</v>
      </c>
      <c r="D63" s="10">
        <v>131.31</v>
      </c>
      <c r="E63" s="10">
        <v>0</v>
      </c>
      <c r="F63" s="12">
        <f t="shared" si="19"/>
        <v>0</v>
      </c>
      <c r="G63" s="10">
        <f t="shared" si="23"/>
        <v>5282.7000000000726</v>
      </c>
      <c r="H63" s="13">
        <v>5282.7</v>
      </c>
      <c r="I63" s="14">
        <v>0</v>
      </c>
      <c r="J63" s="14">
        <v>0</v>
      </c>
      <c r="K63" s="14">
        <f t="shared" si="20"/>
        <v>5282.7</v>
      </c>
      <c r="L63" s="15">
        <f t="shared" si="21"/>
        <v>0</v>
      </c>
      <c r="M63" s="155">
        <f t="shared" si="18"/>
        <v>-7.2759576141834259E-11</v>
      </c>
    </row>
    <row r="64" spans="1:18" x14ac:dyDescent="0.2">
      <c r="A64" s="139" t="s">
        <v>27</v>
      </c>
      <c r="B64" s="10">
        <f t="shared" si="22"/>
        <v>3767.3699999999953</v>
      </c>
      <c r="C64" s="10">
        <f>573447.69-569680.32</f>
        <v>3767.3699999999953</v>
      </c>
      <c r="D64" s="11">
        <v>0</v>
      </c>
      <c r="E64" s="10">
        <v>0</v>
      </c>
      <c r="F64" s="12">
        <f t="shared" si="19"/>
        <v>0</v>
      </c>
      <c r="G64" s="10">
        <f t="shared" si="23"/>
        <v>3767.3699999999953</v>
      </c>
      <c r="H64" s="13">
        <v>3767.37</v>
      </c>
      <c r="I64" s="14">
        <v>0</v>
      </c>
      <c r="J64" s="14">
        <v>0</v>
      </c>
      <c r="K64" s="14">
        <f t="shared" si="20"/>
        <v>3767.37</v>
      </c>
      <c r="L64" s="15">
        <f t="shared" si="21"/>
        <v>0</v>
      </c>
      <c r="M64" s="62">
        <f t="shared" si="18"/>
        <v>4.5474735088646412E-12</v>
      </c>
    </row>
    <row r="65" spans="1:16" x14ac:dyDescent="0.2">
      <c r="A65" s="139" t="s">
        <v>28</v>
      </c>
      <c r="B65" s="10">
        <f t="shared" si="22"/>
        <v>542.31999999999971</v>
      </c>
      <c r="C65" s="10">
        <f>36484.65-0-35942.33</f>
        <v>542.31999999999971</v>
      </c>
      <c r="D65" s="11">
        <v>0</v>
      </c>
      <c r="E65" s="10">
        <v>0</v>
      </c>
      <c r="F65" s="12">
        <f t="shared" si="19"/>
        <v>0</v>
      </c>
      <c r="G65" s="10">
        <f t="shared" si="23"/>
        <v>542.31999999999971</v>
      </c>
      <c r="H65" s="13">
        <v>542.32000000000005</v>
      </c>
      <c r="I65" s="14">
        <v>0</v>
      </c>
      <c r="J65" s="14">
        <v>0</v>
      </c>
      <c r="K65" s="14">
        <f t="shared" si="20"/>
        <v>542.32000000000005</v>
      </c>
      <c r="L65" s="15">
        <f t="shared" si="21"/>
        <v>0</v>
      </c>
      <c r="M65" s="155">
        <f t="shared" si="18"/>
        <v>0</v>
      </c>
    </row>
    <row r="66" spans="1:16" x14ac:dyDescent="0.2">
      <c r="A66" s="139" t="s">
        <v>29</v>
      </c>
      <c r="B66" s="10">
        <f>+C66</f>
        <v>489577.01999999862</v>
      </c>
      <c r="C66" s="10">
        <f>25804148.7-21535015.98-3779555.7</f>
        <v>489577.01999999862</v>
      </c>
      <c r="D66" s="45"/>
      <c r="E66" s="10">
        <v>0</v>
      </c>
      <c r="F66" s="12">
        <f t="shared" si="19"/>
        <v>0</v>
      </c>
      <c r="G66" s="10">
        <f>+C66+D66-E66</f>
        <v>489577.01999999862</v>
      </c>
      <c r="H66" s="13">
        <f>2255525.44-1688966.46</f>
        <v>566558.98</v>
      </c>
      <c r="I66" s="14">
        <v>122706.07</v>
      </c>
      <c r="J66" s="14">
        <f>20016.25+99956.62+61086.68+18628.48</f>
        <v>199688.03</v>
      </c>
      <c r="K66" s="14">
        <f>H66+I66-J66</f>
        <v>489577.02</v>
      </c>
      <c r="L66" s="15">
        <f t="shared" si="21"/>
        <v>0</v>
      </c>
      <c r="M66" s="62">
        <f t="shared" si="18"/>
        <v>1.3969838619232178E-9</v>
      </c>
      <c r="N66" s="272"/>
    </row>
    <row r="67" spans="1:16" x14ac:dyDescent="0.2">
      <c r="A67" s="139" t="s">
        <v>30</v>
      </c>
      <c r="B67" s="10">
        <f t="shared" si="22"/>
        <v>193749.02000000025</v>
      </c>
      <c r="C67" s="10">
        <f>19272341-17976826.68-1101765.3</f>
        <v>193749.02000000025</v>
      </c>
      <c r="D67" s="10">
        <v>4227.0200000000004</v>
      </c>
      <c r="E67" s="10">
        <v>0</v>
      </c>
      <c r="F67" s="12">
        <f t="shared" si="19"/>
        <v>0</v>
      </c>
      <c r="G67" s="10">
        <f>+C67+D67-E67</f>
        <v>197976.04000000024</v>
      </c>
      <c r="H67" s="13">
        <v>171700.75</v>
      </c>
      <c r="I67" s="14">
        <v>296402</v>
      </c>
      <c r="J67" s="14">
        <f>26299+244312.48</f>
        <v>270611.48</v>
      </c>
      <c r="K67" s="14">
        <f>H67+I67-J67</f>
        <v>197491.27000000002</v>
      </c>
      <c r="L67" s="15">
        <f t="shared" si="21"/>
        <v>0</v>
      </c>
      <c r="M67" s="155">
        <f>+K67-G67</f>
        <v>-484.77000000022235</v>
      </c>
      <c r="N67" s="273"/>
    </row>
    <row r="68" spans="1:16" s="5" customFormat="1" x14ac:dyDescent="0.2">
      <c r="A68" s="20" t="s">
        <v>33</v>
      </c>
      <c r="B68" s="21">
        <f>SUM(B57:B67)</f>
        <v>1685870.649999999</v>
      </c>
      <c r="C68" s="21">
        <f>SUM(C57:C67)</f>
        <v>2492331.6499999994</v>
      </c>
      <c r="D68" s="21">
        <f>SUM(D57:D67)</f>
        <v>4457.42</v>
      </c>
      <c r="E68" s="21">
        <f>SUM(E57:E67)</f>
        <v>2038.23</v>
      </c>
      <c r="F68" s="22">
        <f>+E68/C68</f>
        <v>8.178004721000917E-4</v>
      </c>
      <c r="G68" s="21">
        <f>SUM(G57:G67)</f>
        <v>2494750.8399999989</v>
      </c>
      <c r="H68" s="21">
        <f>SUM(H57:H67)</f>
        <v>2967054.7</v>
      </c>
      <c r="I68" s="21">
        <f>SUM(I57:I67)</f>
        <v>1070779.75</v>
      </c>
      <c r="J68" s="21">
        <f>SUM(J57:J67)</f>
        <v>1543568.3800000001</v>
      </c>
      <c r="K68" s="21">
        <f>SUM(K57:K67)</f>
        <v>2494266.0700000003</v>
      </c>
      <c r="L68" s="23"/>
      <c r="M68" s="62">
        <f t="shared" ref="M68:M84" si="24">+K68-G68</f>
        <v>-484.76999999862164</v>
      </c>
      <c r="N68" s="203"/>
      <c r="O68" s="143"/>
      <c r="P68" s="143"/>
    </row>
    <row r="69" spans="1:16" x14ac:dyDescent="0.2">
      <c r="A69" s="139" t="s">
        <v>34</v>
      </c>
      <c r="B69" s="10">
        <v>0</v>
      </c>
      <c r="C69" s="10">
        <v>256006.06</v>
      </c>
      <c r="D69" s="13">
        <v>440.75</v>
      </c>
      <c r="E69" s="10">
        <v>0</v>
      </c>
      <c r="F69" s="12">
        <v>0</v>
      </c>
      <c r="G69" s="10">
        <f>+C69+D69-E69</f>
        <v>256446.81</v>
      </c>
      <c r="H69" s="10">
        <v>238695.02</v>
      </c>
      <c r="I69" s="10">
        <v>30099.8</v>
      </c>
      <c r="J69" s="10">
        <v>12348.01</v>
      </c>
      <c r="K69" s="10">
        <f t="shared" si="20"/>
        <v>256446.81</v>
      </c>
      <c r="L69" s="15"/>
      <c r="M69" s="62">
        <f t="shared" si="24"/>
        <v>0</v>
      </c>
    </row>
    <row r="70" spans="1:16" x14ac:dyDescent="0.2">
      <c r="A70" s="20" t="s">
        <v>35</v>
      </c>
      <c r="B70" s="25">
        <f t="shared" ref="B70:K70" si="25">SUM(B69:B69)</f>
        <v>0</v>
      </c>
      <c r="C70" s="25">
        <f t="shared" si="25"/>
        <v>256006.06</v>
      </c>
      <c r="D70" s="25">
        <f t="shared" si="25"/>
        <v>440.75</v>
      </c>
      <c r="E70" s="25">
        <f t="shared" si="25"/>
        <v>0</v>
      </c>
      <c r="F70" s="25">
        <f t="shared" si="25"/>
        <v>0</v>
      </c>
      <c r="G70" s="25">
        <f t="shared" si="25"/>
        <v>256446.81</v>
      </c>
      <c r="H70" s="25">
        <f t="shared" si="25"/>
        <v>238695.02</v>
      </c>
      <c r="I70" s="25">
        <f t="shared" si="25"/>
        <v>30099.8</v>
      </c>
      <c r="J70" s="25">
        <f t="shared" si="25"/>
        <v>12348.01</v>
      </c>
      <c r="K70" s="25">
        <f t="shared" si="25"/>
        <v>256446.81</v>
      </c>
      <c r="L70" s="27"/>
      <c r="M70" s="62">
        <f t="shared" si="24"/>
        <v>0</v>
      </c>
    </row>
    <row r="71" spans="1:16" x14ac:dyDescent="0.2">
      <c r="A71" s="13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0.47</v>
      </c>
      <c r="H71" s="10">
        <v>0.47</v>
      </c>
      <c r="I71" s="10">
        <v>0</v>
      </c>
      <c r="J71" s="10">
        <v>0</v>
      </c>
      <c r="K71" s="10">
        <f t="shared" si="20"/>
        <v>0.47</v>
      </c>
      <c r="L71" s="15"/>
      <c r="M71" s="62">
        <f t="shared" si="24"/>
        <v>0</v>
      </c>
    </row>
    <row r="72" spans="1:16" x14ac:dyDescent="0.2">
      <c r="A72" s="139" t="s">
        <v>29</v>
      </c>
      <c r="B72" s="10">
        <v>0</v>
      </c>
      <c r="C72" s="10">
        <v>0</v>
      </c>
      <c r="D72" s="10">
        <v>0</v>
      </c>
      <c r="E72" s="10">
        <v>0</v>
      </c>
      <c r="F72" s="12">
        <v>0</v>
      </c>
      <c r="G72" s="10">
        <v>17.399999999999999</v>
      </c>
      <c r="H72" s="10">
        <v>17.399999999999999</v>
      </c>
      <c r="I72" s="10"/>
      <c r="J72" s="10">
        <v>0</v>
      </c>
      <c r="K72" s="10">
        <f t="shared" si="20"/>
        <v>17.399999999999999</v>
      </c>
      <c r="L72" s="15"/>
      <c r="M72" s="62">
        <f t="shared" si="24"/>
        <v>0</v>
      </c>
    </row>
    <row r="73" spans="1:16" x14ac:dyDescent="0.2">
      <c r="A73" s="20" t="s">
        <v>37</v>
      </c>
      <c r="B73" s="25">
        <f t="shared" ref="B73:K73" si="26">SUM(B71:B72)</f>
        <v>0</v>
      </c>
      <c r="C73" s="25">
        <f t="shared" si="26"/>
        <v>0</v>
      </c>
      <c r="D73" s="25">
        <f t="shared" si="26"/>
        <v>0</v>
      </c>
      <c r="E73" s="25">
        <f t="shared" si="26"/>
        <v>0</v>
      </c>
      <c r="F73" s="25">
        <f t="shared" si="26"/>
        <v>0</v>
      </c>
      <c r="G73" s="25">
        <f t="shared" si="26"/>
        <v>17.869999999999997</v>
      </c>
      <c r="H73" s="25">
        <f t="shared" si="26"/>
        <v>17.869999999999997</v>
      </c>
      <c r="I73" s="25">
        <f t="shared" si="26"/>
        <v>0</v>
      </c>
      <c r="J73" s="25">
        <f t="shared" si="26"/>
        <v>0</v>
      </c>
      <c r="K73" s="25">
        <f t="shared" si="26"/>
        <v>17.869999999999997</v>
      </c>
      <c r="L73" s="27"/>
      <c r="M73" s="62">
        <f>+K73-G73</f>
        <v>0</v>
      </c>
    </row>
    <row r="74" spans="1:16" x14ac:dyDescent="0.2">
      <c r="A74" s="139" t="s">
        <v>18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1392</v>
      </c>
      <c r="H74" s="10">
        <v>1392</v>
      </c>
      <c r="I74" s="10">
        <v>0</v>
      </c>
      <c r="J74" s="10">
        <v>0</v>
      </c>
      <c r="K74" s="10">
        <f t="shared" si="20"/>
        <v>1392</v>
      </c>
      <c r="L74" s="15"/>
      <c r="M74" s="62">
        <f t="shared" si="24"/>
        <v>0</v>
      </c>
    </row>
    <row r="75" spans="1:16" x14ac:dyDescent="0.2">
      <c r="A75" s="139" t="s">
        <v>20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382.8</v>
      </c>
      <c r="H75" s="10">
        <v>382.8</v>
      </c>
      <c r="I75" s="10">
        <v>0</v>
      </c>
      <c r="J75" s="10">
        <v>0</v>
      </c>
      <c r="K75" s="10">
        <f t="shared" si="20"/>
        <v>382.8</v>
      </c>
      <c r="L75" s="15"/>
      <c r="M75" s="62">
        <f t="shared" si="24"/>
        <v>0</v>
      </c>
    </row>
    <row r="76" spans="1:16" x14ac:dyDescent="0.2">
      <c r="A76" s="139" t="s">
        <v>29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242057.67</v>
      </c>
      <c r="H76" s="10">
        <v>242057.67</v>
      </c>
      <c r="I76" s="10">
        <v>0</v>
      </c>
      <c r="J76" s="10">
        <v>0</v>
      </c>
      <c r="K76" s="10">
        <f t="shared" si="20"/>
        <v>242057.67</v>
      </c>
      <c r="L76" s="15"/>
      <c r="M76" s="62">
        <f t="shared" si="24"/>
        <v>0</v>
      </c>
    </row>
    <row r="77" spans="1:16" x14ac:dyDescent="0.2">
      <c r="A77" s="20" t="s">
        <v>38</v>
      </c>
      <c r="B77" s="25">
        <f t="shared" ref="B77:K77" si="27">SUM(B74:B76)</f>
        <v>0</v>
      </c>
      <c r="C77" s="25">
        <f t="shared" si="27"/>
        <v>0</v>
      </c>
      <c r="D77" s="25">
        <f t="shared" si="27"/>
        <v>0</v>
      </c>
      <c r="E77" s="25">
        <f t="shared" si="27"/>
        <v>0</v>
      </c>
      <c r="F77" s="25">
        <f t="shared" si="27"/>
        <v>0</v>
      </c>
      <c r="G77" s="25">
        <f t="shared" si="27"/>
        <v>243832.47</v>
      </c>
      <c r="H77" s="25">
        <f t="shared" si="27"/>
        <v>243832.47</v>
      </c>
      <c r="I77" s="25">
        <f t="shared" si="27"/>
        <v>0</v>
      </c>
      <c r="J77" s="25">
        <f t="shared" si="27"/>
        <v>0</v>
      </c>
      <c r="K77" s="25">
        <f t="shared" si="27"/>
        <v>243832.47</v>
      </c>
      <c r="L77" s="27"/>
      <c r="M77" s="62">
        <f t="shared" si="24"/>
        <v>0</v>
      </c>
    </row>
    <row r="78" spans="1:16" x14ac:dyDescent="0.2">
      <c r="A78" s="139" t="s">
        <v>36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-10</v>
      </c>
      <c r="H78" s="10">
        <v>-10</v>
      </c>
      <c r="I78" s="10">
        <v>0</v>
      </c>
      <c r="J78" s="10">
        <v>0</v>
      </c>
      <c r="K78" s="10">
        <f t="shared" si="20"/>
        <v>-10</v>
      </c>
      <c r="L78" s="15"/>
      <c r="M78" s="62">
        <f t="shared" si="24"/>
        <v>0</v>
      </c>
    </row>
    <row r="79" spans="1:16" x14ac:dyDescent="0.2">
      <c r="A79" s="139" t="s">
        <v>20</v>
      </c>
      <c r="B79" s="10">
        <v>0</v>
      </c>
      <c r="C79" s="10">
        <v>0</v>
      </c>
      <c r="D79" s="10"/>
      <c r="E79" s="10">
        <v>0</v>
      </c>
      <c r="F79" s="12">
        <v>0</v>
      </c>
      <c r="G79" s="10">
        <v>219.47</v>
      </c>
      <c r="H79" s="10">
        <v>219.47</v>
      </c>
      <c r="I79" s="10">
        <v>0</v>
      </c>
      <c r="J79" s="10">
        <v>0</v>
      </c>
      <c r="K79" s="10">
        <f t="shared" si="20"/>
        <v>219.47</v>
      </c>
      <c r="L79" s="15"/>
      <c r="M79" s="62">
        <f t="shared" si="24"/>
        <v>0</v>
      </c>
    </row>
    <row r="80" spans="1:16" x14ac:dyDescent="0.2">
      <c r="A80" s="139" t="s">
        <v>24</v>
      </c>
      <c r="B80" s="10">
        <v>0</v>
      </c>
      <c r="C80" s="10">
        <v>0</v>
      </c>
      <c r="D80" s="10"/>
      <c r="E80" s="10">
        <v>0</v>
      </c>
      <c r="F80" s="12">
        <v>0</v>
      </c>
      <c r="G80" s="10">
        <v>1150.8900000000001</v>
      </c>
      <c r="H80" s="10">
        <v>42631.81</v>
      </c>
      <c r="I80" s="10">
        <v>412765.08</v>
      </c>
      <c r="J80" s="10">
        <v>454246</v>
      </c>
      <c r="K80" s="10">
        <f t="shared" si="20"/>
        <v>1150.890000000014</v>
      </c>
      <c r="L80" s="15"/>
      <c r="M80" s="62">
        <f t="shared" si="24"/>
        <v>1.3869794202037156E-11</v>
      </c>
    </row>
    <row r="81" spans="1:13" x14ac:dyDescent="0.2">
      <c r="A81" s="139" t="s">
        <v>25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719.87</v>
      </c>
      <c r="H81" s="10">
        <v>719.87</v>
      </c>
      <c r="I81" s="10">
        <v>0</v>
      </c>
      <c r="J81" s="10">
        <v>0</v>
      </c>
      <c r="K81" s="10">
        <f t="shared" si="20"/>
        <v>719.87</v>
      </c>
      <c r="L81" s="15"/>
      <c r="M81" s="62">
        <f t="shared" si="24"/>
        <v>0</v>
      </c>
    </row>
    <row r="82" spans="1:13" x14ac:dyDescent="0.2">
      <c r="A82" s="139" t="s">
        <v>27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267528.84000000003</v>
      </c>
      <c r="H82" s="10">
        <v>0</v>
      </c>
      <c r="I82" s="10">
        <v>267528.84000000003</v>
      </c>
      <c r="J82" s="10">
        <v>0</v>
      </c>
      <c r="K82" s="10">
        <f t="shared" si="20"/>
        <v>267528.84000000003</v>
      </c>
      <c r="L82" s="15"/>
      <c r="M82" s="62">
        <f t="shared" si="24"/>
        <v>0</v>
      </c>
    </row>
    <row r="83" spans="1:13" x14ac:dyDescent="0.2">
      <c r="A83" s="139" t="s">
        <v>29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236767.4</v>
      </c>
      <c r="H83" s="10">
        <v>243581.68</v>
      </c>
      <c r="I83" s="10">
        <v>0</v>
      </c>
      <c r="J83" s="10">
        <f>2827.74+3986.54</f>
        <v>6814.28</v>
      </c>
      <c r="K83" s="10">
        <f t="shared" si="20"/>
        <v>236767.4</v>
      </c>
      <c r="L83" s="15"/>
      <c r="M83" s="62">
        <f t="shared" si="24"/>
        <v>0</v>
      </c>
    </row>
    <row r="84" spans="1:13" x14ac:dyDescent="0.2">
      <c r="A84" s="20" t="s">
        <v>39</v>
      </c>
      <c r="B84" s="25">
        <f t="shared" ref="B84:K84" si="28">SUM(B78:B83)</f>
        <v>0</v>
      </c>
      <c r="C84" s="25">
        <f t="shared" si="28"/>
        <v>0</v>
      </c>
      <c r="D84" s="25">
        <f t="shared" si="28"/>
        <v>0</v>
      </c>
      <c r="E84" s="25">
        <f t="shared" si="28"/>
        <v>0</v>
      </c>
      <c r="F84" s="25">
        <f t="shared" si="28"/>
        <v>0</v>
      </c>
      <c r="G84" s="25">
        <f t="shared" si="28"/>
        <v>506376.47</v>
      </c>
      <c r="H84" s="25">
        <f t="shared" si="28"/>
        <v>287142.83</v>
      </c>
      <c r="I84" s="25">
        <f t="shared" si="28"/>
        <v>680293.92</v>
      </c>
      <c r="J84" s="25">
        <f t="shared" si="28"/>
        <v>461060.28</v>
      </c>
      <c r="K84" s="25">
        <f t="shared" si="28"/>
        <v>506376.47000000009</v>
      </c>
      <c r="L84" s="27"/>
      <c r="M84" s="62">
        <f t="shared" si="24"/>
        <v>0</v>
      </c>
    </row>
    <row r="85" spans="1:13" x14ac:dyDescent="0.25">
      <c r="A85" s="20" t="s">
        <v>44</v>
      </c>
      <c r="B85" s="25">
        <f t="shared" ref="B85:K85" si="29">+B56+B68+B70+B73+B77+B84</f>
        <v>104936112.92999999</v>
      </c>
      <c r="C85" s="25">
        <f t="shared" si="29"/>
        <v>31581441.700000003</v>
      </c>
      <c r="D85" s="25">
        <f t="shared" si="29"/>
        <v>191349.32</v>
      </c>
      <c r="E85" s="25">
        <f t="shared" si="29"/>
        <v>27923468.280000001</v>
      </c>
      <c r="F85" s="25">
        <f t="shared" si="29"/>
        <v>5.1248144041110253</v>
      </c>
      <c r="G85" s="25">
        <f t="shared" si="29"/>
        <v>4599549.5500000007</v>
      </c>
      <c r="H85" s="25">
        <f t="shared" si="29"/>
        <v>5442768.7199999997</v>
      </c>
      <c r="I85" s="25">
        <f t="shared" si="29"/>
        <v>2802781.26</v>
      </c>
      <c r="J85" s="25">
        <f t="shared" si="29"/>
        <v>3646485.2</v>
      </c>
      <c r="K85" s="25">
        <f t="shared" si="29"/>
        <v>4599064.78</v>
      </c>
      <c r="L85" s="27"/>
    </row>
    <row r="86" spans="1:13" x14ac:dyDescent="0.25">
      <c r="A86" s="28"/>
      <c r="B86" s="29"/>
      <c r="C86" s="29"/>
      <c r="D86" s="29"/>
      <c r="E86" s="28"/>
      <c r="F86" s="28"/>
      <c r="G86" s="28"/>
      <c r="H86" s="28"/>
      <c r="I86" s="28"/>
      <c r="J86" s="28"/>
      <c r="K86" s="28"/>
      <c r="L86" s="30"/>
    </row>
    <row r="87" spans="1:13" x14ac:dyDescent="0.25">
      <c r="A87" s="140"/>
      <c r="B87" s="19"/>
      <c r="C87" s="333" t="s">
        <v>45</v>
      </c>
      <c r="D87" s="333"/>
      <c r="E87" s="333"/>
      <c r="F87" s="333"/>
      <c r="G87" s="333"/>
      <c r="H87" s="333"/>
      <c r="I87" s="333"/>
      <c r="J87" s="19"/>
      <c r="K87" s="19"/>
      <c r="L87" s="19"/>
    </row>
    <row r="88" spans="1:13" x14ac:dyDescent="0.25">
      <c r="A88" s="140"/>
      <c r="B88" s="19"/>
      <c r="C88" s="266"/>
      <c r="D88" s="266"/>
      <c r="E88" s="266"/>
      <c r="F88" s="266"/>
      <c r="G88" s="266"/>
      <c r="H88" s="266"/>
      <c r="I88" s="266"/>
      <c r="J88" s="19"/>
      <c r="K88" s="19"/>
      <c r="L88" s="19"/>
    </row>
    <row r="89" spans="1:13" x14ac:dyDescent="0.25">
      <c r="A89" s="140"/>
      <c r="B89" s="325" t="s">
        <v>46</v>
      </c>
      <c r="C89" s="325"/>
      <c r="D89" s="326" t="s">
        <v>47</v>
      </c>
      <c r="E89" s="327"/>
      <c r="F89" s="328"/>
      <c r="G89" s="320" t="s">
        <v>48</v>
      </c>
      <c r="H89" s="320"/>
      <c r="I89" s="268" t="s">
        <v>10</v>
      </c>
      <c r="J89" s="19"/>
      <c r="K89" s="19"/>
      <c r="L89" s="19"/>
    </row>
    <row r="90" spans="1:13" x14ac:dyDescent="0.25">
      <c r="A90" s="140"/>
      <c r="B90" s="329" t="s">
        <v>49</v>
      </c>
      <c r="C90" s="329"/>
      <c r="D90" s="330">
        <v>9000000</v>
      </c>
      <c r="E90" s="331"/>
      <c r="F90" s="332">
        <v>0</v>
      </c>
      <c r="G90" s="330">
        <v>0</v>
      </c>
      <c r="H90" s="332"/>
      <c r="I90" s="33">
        <f>G90/D90</f>
        <v>0</v>
      </c>
      <c r="J90" s="19"/>
      <c r="K90" s="19"/>
      <c r="L90" s="19"/>
    </row>
    <row r="91" spans="1:13" x14ac:dyDescent="0.25">
      <c r="A91" s="140"/>
      <c r="B91" s="320"/>
      <c r="C91" s="320"/>
      <c r="D91" s="321"/>
      <c r="E91" s="322"/>
      <c r="F91" s="323"/>
      <c r="G91" s="324"/>
      <c r="H91" s="324"/>
      <c r="I91" s="269"/>
      <c r="J91" s="19"/>
      <c r="K91" s="19"/>
      <c r="L91" s="19"/>
    </row>
    <row r="92" spans="1:13" x14ac:dyDescent="0.25">
      <c r="A92" s="140"/>
      <c r="B92" s="320"/>
      <c r="C92" s="320"/>
      <c r="D92" s="321"/>
      <c r="E92" s="322"/>
      <c r="F92" s="323"/>
      <c r="G92" s="324"/>
      <c r="H92" s="324"/>
      <c r="I92" s="269"/>
      <c r="J92" s="19"/>
      <c r="K92" s="19"/>
      <c r="L92" s="19"/>
    </row>
    <row r="93" spans="1:13" x14ac:dyDescent="0.25">
      <c r="A93" s="140"/>
      <c r="B93" s="320"/>
      <c r="C93" s="320"/>
      <c r="D93" s="321"/>
      <c r="E93" s="322"/>
      <c r="F93" s="323"/>
      <c r="G93" s="324"/>
      <c r="H93" s="324"/>
      <c r="I93" s="269"/>
      <c r="J93" s="19"/>
      <c r="K93" s="19"/>
      <c r="L93" s="19"/>
    </row>
    <row r="94" spans="1:13" x14ac:dyDescent="0.25">
      <c r="A94" s="35" t="s">
        <v>50</v>
      </c>
      <c r="B94" s="36"/>
      <c r="C94" s="36"/>
      <c r="D94" s="36"/>
      <c r="E94" s="36"/>
      <c r="F94" s="36"/>
      <c r="G94" s="37"/>
      <c r="H94" s="37"/>
      <c r="I94" s="38"/>
      <c r="J94" s="19"/>
      <c r="K94" s="19"/>
      <c r="L94" s="19"/>
    </row>
    <row r="96" spans="1:13" x14ac:dyDescent="0.25">
      <c r="C96" s="342" t="s">
        <v>125</v>
      </c>
      <c r="D96" s="342"/>
      <c r="I96" s="342" t="s">
        <v>128</v>
      </c>
      <c r="J96" s="342"/>
    </row>
    <row r="99" spans="3:10" x14ac:dyDescent="0.25">
      <c r="C99" s="342" t="s">
        <v>126</v>
      </c>
      <c r="D99" s="342"/>
      <c r="I99" s="342" t="s">
        <v>129</v>
      </c>
      <c r="J99" s="342"/>
    </row>
    <row r="100" spans="3:10" x14ac:dyDescent="0.25">
      <c r="C100" s="342" t="s">
        <v>127</v>
      </c>
      <c r="D100" s="342"/>
      <c r="I100" s="342" t="s">
        <v>130</v>
      </c>
      <c r="J100" s="342"/>
    </row>
  </sheetData>
  <mergeCells count="39">
    <mergeCell ref="A1:L1"/>
    <mergeCell ref="A3:L3"/>
    <mergeCell ref="A6:L6"/>
    <mergeCell ref="A7:L7"/>
    <mergeCell ref="C8:G8"/>
    <mergeCell ref="H8:K8"/>
    <mergeCell ref="A9:A10"/>
    <mergeCell ref="B9:B10"/>
    <mergeCell ref="C9:C10"/>
    <mergeCell ref="D9:D10"/>
    <mergeCell ref="E9:E10"/>
    <mergeCell ref="K9:K10"/>
    <mergeCell ref="B92:C92"/>
    <mergeCell ref="D92:F92"/>
    <mergeCell ref="G92:H92"/>
    <mergeCell ref="B90:C90"/>
    <mergeCell ref="D90:F90"/>
    <mergeCell ref="G90:H90"/>
    <mergeCell ref="G9:G10"/>
    <mergeCell ref="H9:H10"/>
    <mergeCell ref="F9:F10"/>
    <mergeCell ref="C87:I87"/>
    <mergeCell ref="B89:C89"/>
    <mergeCell ref="D89:F89"/>
    <mergeCell ref="G89:H89"/>
    <mergeCell ref="I9:I10"/>
    <mergeCell ref="B91:C91"/>
    <mergeCell ref="C99:D99"/>
    <mergeCell ref="I99:J99"/>
    <mergeCell ref="C100:D100"/>
    <mergeCell ref="I100:J100"/>
    <mergeCell ref="J9:J10"/>
    <mergeCell ref="D91:F91"/>
    <mergeCell ref="G91:H91"/>
    <mergeCell ref="C96:D96"/>
    <mergeCell ref="I96:J96"/>
    <mergeCell ref="B93:C93"/>
    <mergeCell ref="D93:F93"/>
    <mergeCell ref="G93:H93"/>
  </mergeCells>
  <pageMargins left="0.7" right="0.7" top="0.75" bottom="0.75" header="0.3" footer="0.3"/>
  <pageSetup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100"/>
  <sheetViews>
    <sheetView workbookViewId="0">
      <selection activeCell="C11" sqref="C11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24.28515625" style="165" customWidth="1"/>
    <col min="14" max="14" width="16.5703125" style="186" customWidth="1"/>
    <col min="15" max="16" width="16.5703125" style="141"/>
    <col min="17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6" x14ac:dyDescent="0.25">
      <c r="A1" s="334" t="s">
        <v>146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6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334" t="s">
        <v>147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6" x14ac:dyDescent="0.25">
      <c r="A4" s="3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6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</row>
    <row r="6" spans="1:16" x14ac:dyDescent="0.25">
      <c r="A6" s="334" t="s">
        <v>146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6" x14ac:dyDescent="0.25">
      <c r="A7" s="334" t="s">
        <v>175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6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</row>
    <row r="9" spans="1:16" s="17" customForma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166"/>
      <c r="N9" s="187"/>
      <c r="O9" s="142"/>
      <c r="P9" s="142"/>
    </row>
    <row r="10" spans="1:16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O10" s="151"/>
    </row>
    <row r="11" spans="1:16" s="17" customFormat="1" x14ac:dyDescent="0.25">
      <c r="A11" s="139" t="s">
        <v>18</v>
      </c>
      <c r="B11" s="14">
        <v>12913787.119999999</v>
      </c>
      <c r="C11" s="294">
        <f>4789073.2+330716.54</f>
        <v>5119789.74</v>
      </c>
      <c r="D11" s="79">
        <v>1860.42</v>
      </c>
      <c r="E11" s="294">
        <v>4406090.8099999996</v>
      </c>
      <c r="F11" s="14">
        <f>+E11/C11</f>
        <v>0.86059995307541659</v>
      </c>
      <c r="G11" s="251">
        <f>+C11+D11-E11</f>
        <v>715559.35000000056</v>
      </c>
      <c r="H11" s="293">
        <f>39600+501827.35</f>
        <v>541427.35</v>
      </c>
      <c r="I11" s="294">
        <f>160000+38253</f>
        <v>198253</v>
      </c>
      <c r="J11" s="294">
        <f>12951+11170</f>
        <v>24121</v>
      </c>
      <c r="K11" s="295">
        <f>H11+I11-J11</f>
        <v>715559.35</v>
      </c>
      <c r="L11" s="15">
        <f>+F11</f>
        <v>0.86059995307541659</v>
      </c>
      <c r="M11" s="61">
        <f t="shared" ref="M11:M23" si="0">+K11-G11</f>
        <v>0</v>
      </c>
      <c r="N11" s="278"/>
      <c r="O11" s="153"/>
      <c r="P11" s="142"/>
    </row>
    <row r="12" spans="1:16" x14ac:dyDescent="0.2">
      <c r="A12" s="139" t="s">
        <v>20</v>
      </c>
      <c r="B12" s="14">
        <v>30330208</v>
      </c>
      <c r="C12" s="293">
        <v>9426558.2899999991</v>
      </c>
      <c r="D12" s="79">
        <v>5.79</v>
      </c>
      <c r="E12" s="294">
        <v>8578491.9199999999</v>
      </c>
      <c r="F12" s="14">
        <f t="shared" ref="F12:F17" si="1">+E12/C12</f>
        <v>0.91003435783135656</v>
      </c>
      <c r="G12" s="251">
        <f t="shared" ref="G12:G23" si="2">+C12+D12-E12</f>
        <v>848072.15999999829</v>
      </c>
      <c r="H12" s="293">
        <f>40000+979379.16</f>
        <v>1019379.16</v>
      </c>
      <c r="I12" s="294">
        <f>246041+12600</f>
        <v>258641</v>
      </c>
      <c r="J12" s="294">
        <f>388928+41020</f>
        <v>429948</v>
      </c>
      <c r="K12" s="295">
        <f t="shared" ref="K12:K21" si="3">H12+I12-J12</f>
        <v>848072.16000000015</v>
      </c>
      <c r="L12" s="15">
        <f t="shared" ref="L12:L23" si="4">+F12</f>
        <v>0.91003435783135656</v>
      </c>
      <c r="M12" s="61">
        <f t="shared" si="0"/>
        <v>1.862645149230957E-9</v>
      </c>
      <c r="N12" s="279"/>
      <c r="O12" s="151"/>
    </row>
    <row r="13" spans="1:16" x14ac:dyDescent="0.2">
      <c r="A13" s="139" t="s">
        <v>21</v>
      </c>
      <c r="B13" s="14">
        <v>281207</v>
      </c>
      <c r="C13" s="293">
        <v>121395.12</v>
      </c>
      <c r="D13" s="79">
        <v>0</v>
      </c>
      <c r="E13" s="293">
        <v>0</v>
      </c>
      <c r="F13" s="14">
        <f t="shared" si="1"/>
        <v>0</v>
      </c>
      <c r="G13" s="251">
        <f t="shared" si="2"/>
        <v>121395.12</v>
      </c>
      <c r="H13" s="293">
        <v>121395.12</v>
      </c>
      <c r="I13" s="294">
        <v>0</v>
      </c>
      <c r="J13" s="294">
        <v>0</v>
      </c>
      <c r="K13" s="295">
        <f t="shared" si="3"/>
        <v>121395.12</v>
      </c>
      <c r="L13" s="15">
        <f t="shared" si="4"/>
        <v>0</v>
      </c>
      <c r="M13" s="296">
        <f t="shared" si="0"/>
        <v>0</v>
      </c>
      <c r="N13" s="280"/>
    </row>
    <row r="14" spans="1:16" x14ac:dyDescent="0.2">
      <c r="A14" s="139" t="s">
        <v>22</v>
      </c>
      <c r="B14" s="14">
        <v>573761</v>
      </c>
      <c r="C14" s="293">
        <v>209176.48</v>
      </c>
      <c r="D14" s="79">
        <v>0</v>
      </c>
      <c r="E14" s="293">
        <v>0</v>
      </c>
      <c r="F14" s="14">
        <f t="shared" si="1"/>
        <v>0</v>
      </c>
      <c r="G14" s="251">
        <f t="shared" si="2"/>
        <v>209176.48</v>
      </c>
      <c r="H14" s="293">
        <v>209176.48</v>
      </c>
      <c r="I14" s="294">
        <v>0</v>
      </c>
      <c r="J14" s="294">
        <v>0</v>
      </c>
      <c r="K14" s="295">
        <f t="shared" si="3"/>
        <v>209176.48</v>
      </c>
      <c r="L14" s="15">
        <f t="shared" si="4"/>
        <v>0</v>
      </c>
      <c r="M14" s="296">
        <f t="shared" si="0"/>
        <v>0</v>
      </c>
      <c r="N14" s="280"/>
    </row>
    <row r="15" spans="1:16" x14ac:dyDescent="0.2">
      <c r="A15" s="139" t="s">
        <v>23</v>
      </c>
      <c r="B15" s="14">
        <v>1398350</v>
      </c>
      <c r="C15" s="293">
        <v>386580.57</v>
      </c>
      <c r="D15" s="79">
        <v>0</v>
      </c>
      <c r="E15" s="293">
        <v>0</v>
      </c>
      <c r="F15" s="14">
        <f t="shared" si="1"/>
        <v>0</v>
      </c>
      <c r="G15" s="251">
        <f t="shared" si="2"/>
        <v>386580.57</v>
      </c>
      <c r="H15" s="293">
        <v>386580.57</v>
      </c>
      <c r="I15" s="294">
        <v>0</v>
      </c>
      <c r="J15" s="294">
        <v>0</v>
      </c>
      <c r="K15" s="295">
        <f t="shared" si="3"/>
        <v>386580.57</v>
      </c>
      <c r="L15" s="15">
        <f t="shared" si="4"/>
        <v>0</v>
      </c>
      <c r="M15" s="296">
        <f t="shared" si="0"/>
        <v>0</v>
      </c>
      <c r="N15" s="281"/>
    </row>
    <row r="16" spans="1:16" x14ac:dyDescent="0.2">
      <c r="A16" s="139" t="s">
        <v>24</v>
      </c>
      <c r="B16" s="14">
        <v>14692367</v>
      </c>
      <c r="C16" s="293">
        <v>5241343.97</v>
      </c>
      <c r="D16" s="79">
        <v>0.05</v>
      </c>
      <c r="E16" s="294">
        <v>4793739.1399999997</v>
      </c>
      <c r="F16" s="14">
        <f t="shared" si="1"/>
        <v>0.91460113425831879</v>
      </c>
      <c r="G16" s="251">
        <f t="shared" si="2"/>
        <v>447604.87999999989</v>
      </c>
      <c r="H16" s="293">
        <v>898577.88</v>
      </c>
      <c r="I16" s="294">
        <v>0</v>
      </c>
      <c r="J16" s="294">
        <f>186774+264199</f>
        <v>450973</v>
      </c>
      <c r="K16" s="295">
        <f t="shared" si="3"/>
        <v>447604.88</v>
      </c>
      <c r="L16" s="15">
        <f t="shared" si="4"/>
        <v>0.91460113425831879</v>
      </c>
      <c r="M16" s="296">
        <f t="shared" si="0"/>
        <v>0</v>
      </c>
      <c r="N16" s="281"/>
      <c r="O16" s="151"/>
    </row>
    <row r="17" spans="1:18" x14ac:dyDescent="0.2">
      <c r="A17" s="139" t="s">
        <v>25</v>
      </c>
      <c r="B17" s="14">
        <v>1397810.64</v>
      </c>
      <c r="C17" s="293">
        <v>307471.56</v>
      </c>
      <c r="D17" s="79">
        <v>0.02</v>
      </c>
      <c r="E17" s="294">
        <v>144763.45000000001</v>
      </c>
      <c r="F17" s="14">
        <f t="shared" si="1"/>
        <v>0.47081899216955225</v>
      </c>
      <c r="G17" s="251">
        <f t="shared" si="2"/>
        <v>162708.13</v>
      </c>
      <c r="H17" s="293">
        <v>162708.13</v>
      </c>
      <c r="I17" s="294">
        <v>0</v>
      </c>
      <c r="J17" s="294">
        <v>0</v>
      </c>
      <c r="K17" s="295">
        <f t="shared" si="3"/>
        <v>162708.13</v>
      </c>
      <c r="L17" s="15">
        <f t="shared" si="4"/>
        <v>0.47081899216955225</v>
      </c>
      <c r="M17" s="277">
        <f t="shared" si="0"/>
        <v>0</v>
      </c>
      <c r="N17" s="281"/>
    </row>
    <row r="18" spans="1:18" x14ac:dyDescent="0.2">
      <c r="A18" s="139" t="s">
        <v>53</v>
      </c>
      <c r="B18" s="14">
        <v>887363.87</v>
      </c>
      <c r="C18" s="293">
        <v>46.93</v>
      </c>
      <c r="D18" s="79">
        <v>0</v>
      </c>
      <c r="E18" s="293">
        <v>0</v>
      </c>
      <c r="F18" s="14">
        <v>0</v>
      </c>
      <c r="G18" s="251">
        <f t="shared" si="2"/>
        <v>46.93</v>
      </c>
      <c r="H18" s="293">
        <v>5046.93</v>
      </c>
      <c r="I18" s="294">
        <v>0</v>
      </c>
      <c r="J18" s="294">
        <v>5000</v>
      </c>
      <c r="K18" s="295">
        <f t="shared" si="3"/>
        <v>46.930000000000291</v>
      </c>
      <c r="L18" s="15">
        <f t="shared" si="4"/>
        <v>0</v>
      </c>
      <c r="M18" s="277">
        <f t="shared" si="0"/>
        <v>2.9132252166164108E-13</v>
      </c>
      <c r="N18" s="281"/>
    </row>
    <row r="19" spans="1:18" x14ac:dyDescent="0.2">
      <c r="A19" s="139" t="s">
        <v>27</v>
      </c>
      <c r="B19" s="14">
        <f>+C19</f>
        <v>0</v>
      </c>
      <c r="C19" s="293">
        <v>0</v>
      </c>
      <c r="D19" s="79">
        <v>0</v>
      </c>
      <c r="E19" s="293">
        <v>0</v>
      </c>
      <c r="F19" s="14">
        <v>0</v>
      </c>
      <c r="G19" s="251">
        <f t="shared" si="2"/>
        <v>0</v>
      </c>
      <c r="H19" s="293">
        <v>0</v>
      </c>
      <c r="I19" s="294">
        <v>0</v>
      </c>
      <c r="J19" s="294">
        <v>0</v>
      </c>
      <c r="K19" s="295">
        <f t="shared" si="3"/>
        <v>0</v>
      </c>
      <c r="L19" s="15">
        <f t="shared" si="4"/>
        <v>0</v>
      </c>
      <c r="M19" s="277">
        <f t="shared" si="0"/>
        <v>0</v>
      </c>
      <c r="N19" s="282"/>
    </row>
    <row r="20" spans="1:18" x14ac:dyDescent="0.2">
      <c r="A20" s="139" t="s">
        <v>28</v>
      </c>
      <c r="B20" s="14">
        <v>55010.61</v>
      </c>
      <c r="C20" s="293">
        <v>17991.57</v>
      </c>
      <c r="D20" s="79">
        <v>0</v>
      </c>
      <c r="E20" s="293">
        <v>0</v>
      </c>
      <c r="F20" s="14">
        <v>0</v>
      </c>
      <c r="G20" s="251">
        <f t="shared" si="2"/>
        <v>17991.57</v>
      </c>
      <c r="H20" s="293">
        <v>17991.57</v>
      </c>
      <c r="I20" s="294">
        <v>0</v>
      </c>
      <c r="J20" s="294">
        <v>0</v>
      </c>
      <c r="K20" s="295">
        <f t="shared" si="3"/>
        <v>17991.57</v>
      </c>
      <c r="L20" s="15">
        <f t="shared" si="4"/>
        <v>0</v>
      </c>
      <c r="M20" s="277">
        <f t="shared" si="0"/>
        <v>0</v>
      </c>
      <c r="N20" s="270"/>
    </row>
    <row r="21" spans="1:18" ht="27" x14ac:dyDescent="0.2">
      <c r="A21" s="139" t="s">
        <v>136</v>
      </c>
      <c r="B21" s="14">
        <v>0</v>
      </c>
      <c r="C21" s="293">
        <v>580320</v>
      </c>
      <c r="D21" s="79">
        <v>0</v>
      </c>
      <c r="E21" s="293">
        <v>0</v>
      </c>
      <c r="F21" s="14">
        <v>0</v>
      </c>
      <c r="G21" s="251">
        <f t="shared" si="2"/>
        <v>580320</v>
      </c>
      <c r="H21" s="293">
        <v>585320</v>
      </c>
      <c r="I21" s="294">
        <v>0</v>
      </c>
      <c r="J21" s="294">
        <v>5000</v>
      </c>
      <c r="K21" s="295">
        <f t="shared" si="3"/>
        <v>580320</v>
      </c>
      <c r="L21" s="15">
        <f t="shared" si="4"/>
        <v>0</v>
      </c>
      <c r="M21" s="277">
        <f t="shared" si="0"/>
        <v>0</v>
      </c>
      <c r="N21" s="270"/>
    </row>
    <row r="22" spans="1:18" x14ac:dyDescent="0.2">
      <c r="A22" s="139" t="s">
        <v>29</v>
      </c>
      <c r="B22" s="14">
        <v>29358059</v>
      </c>
      <c r="C22" s="293">
        <v>13022035.1</v>
      </c>
      <c r="D22" s="79">
        <v>0</v>
      </c>
      <c r="E22" s="293">
        <v>0</v>
      </c>
      <c r="F22" s="14">
        <f>+E22/C22</f>
        <v>0</v>
      </c>
      <c r="G22" s="251">
        <f t="shared" si="2"/>
        <v>13022035.1</v>
      </c>
      <c r="H22" s="293">
        <f>3260506.9+9761528.2</f>
        <v>13022035.1</v>
      </c>
      <c r="I22" s="294">
        <v>0</v>
      </c>
      <c r="J22" s="294">
        <v>0</v>
      </c>
      <c r="K22" s="295">
        <f>H22+I22-J22</f>
        <v>13022035.1</v>
      </c>
      <c r="L22" s="15">
        <f t="shared" si="4"/>
        <v>0</v>
      </c>
      <c r="M22" s="277">
        <f t="shared" si="0"/>
        <v>0</v>
      </c>
      <c r="N22" s="270"/>
    </row>
    <row r="23" spans="1:18" x14ac:dyDescent="0.2">
      <c r="A23" s="139" t="s">
        <v>30</v>
      </c>
      <c r="B23" s="14">
        <v>22883119</v>
      </c>
      <c r="C23" s="293">
        <v>8719693.6199999992</v>
      </c>
      <c r="D23" s="79">
        <v>0</v>
      </c>
      <c r="E23" s="294">
        <v>7563157.0099999998</v>
      </c>
      <c r="F23" s="14">
        <f>+E23/C23</f>
        <v>0.86736499464301142</v>
      </c>
      <c r="G23" s="251">
        <f t="shared" si="2"/>
        <v>1156536.6099999994</v>
      </c>
      <c r="H23" s="293">
        <v>1815316.44</v>
      </c>
      <c r="I23" s="294">
        <f>121.8+800</f>
        <v>921.8</v>
      </c>
      <c r="J23" s="294">
        <f>56025+603676.63</f>
        <v>659701.63</v>
      </c>
      <c r="K23" s="295">
        <f>H23+I23-J23</f>
        <v>1156536.6099999999</v>
      </c>
      <c r="L23" s="15">
        <f t="shared" si="4"/>
        <v>0.86736499464301142</v>
      </c>
      <c r="M23" s="277">
        <f t="shared" si="0"/>
        <v>0</v>
      </c>
      <c r="N23" s="283"/>
      <c r="Q23" s="141"/>
      <c r="R23" s="144"/>
    </row>
    <row r="24" spans="1:18" s="5" customFormat="1" x14ac:dyDescent="0.2">
      <c r="A24" s="248" t="s">
        <v>144</v>
      </c>
      <c r="B24" s="21">
        <f t="shared" ref="B24:K24" si="5">SUM(B11:B23)</f>
        <v>114771043.23999999</v>
      </c>
      <c r="C24" s="21">
        <f t="shared" si="5"/>
        <v>43152402.949999996</v>
      </c>
      <c r="D24" s="21">
        <f t="shared" si="5"/>
        <v>1866.28</v>
      </c>
      <c r="E24" s="21">
        <f t="shared" si="5"/>
        <v>25486242.329999998</v>
      </c>
      <c r="F24" s="249">
        <f t="shared" si="5"/>
        <v>4.0234194319776559</v>
      </c>
      <c r="G24" s="249">
        <f t="shared" si="5"/>
        <v>17668026.899999999</v>
      </c>
      <c r="H24" s="249">
        <f t="shared" si="5"/>
        <v>18784954.73</v>
      </c>
      <c r="I24" s="249">
        <f t="shared" si="5"/>
        <v>457815.8</v>
      </c>
      <c r="J24" s="249">
        <f t="shared" si="5"/>
        <v>1574743.63</v>
      </c>
      <c r="K24" s="249">
        <f t="shared" si="5"/>
        <v>17668026.899999999</v>
      </c>
      <c r="L24" s="252"/>
      <c r="M24" s="118">
        <f>SUM(M11:M23)</f>
        <v>1.8629364717526187E-9</v>
      </c>
      <c r="N24" s="203"/>
      <c r="O24" s="143"/>
      <c r="P24" s="143"/>
    </row>
    <row r="25" spans="1:18" s="17" customFormat="1" x14ac:dyDescent="0.25">
      <c r="A25" s="139" t="s">
        <v>18</v>
      </c>
      <c r="B25" s="14">
        <f>10999097.88+238908.65</f>
        <v>11238006.530000001</v>
      </c>
      <c r="C25" s="14">
        <f>10999097.88+238908.65</f>
        <v>11238006.530000001</v>
      </c>
      <c r="D25" s="11">
        <v>0</v>
      </c>
      <c r="E25" s="14">
        <v>11056143.380000001</v>
      </c>
      <c r="F25" s="14">
        <f>+E25/C25</f>
        <v>0.98381713433654672</v>
      </c>
      <c r="G25" s="251">
        <f>+C25+D25-E25</f>
        <v>181863.15000000037</v>
      </c>
      <c r="H25" s="11">
        <f>178606.93+5000</f>
        <v>183606.93</v>
      </c>
      <c r="I25" s="14">
        <f>127254.42+10000</f>
        <v>137254.41999999998</v>
      </c>
      <c r="J25" s="14">
        <f>21634+117364.2</f>
        <v>138998.20000000001</v>
      </c>
      <c r="K25" s="14">
        <f>H25+I25-J25</f>
        <v>181863.14999999997</v>
      </c>
      <c r="L25" s="15">
        <f>+F25</f>
        <v>0.98381713433654672</v>
      </c>
      <c r="M25" s="62">
        <f t="shared" ref="M25:M40" si="6">+K25-G25</f>
        <v>-4.0745362639427185E-10</v>
      </c>
      <c r="N25" s="278"/>
      <c r="O25" s="153"/>
      <c r="P25" s="142"/>
    </row>
    <row r="26" spans="1:18" x14ac:dyDescent="0.2">
      <c r="A26" s="139" t="s">
        <v>20</v>
      </c>
      <c r="B26" s="11">
        <v>32201284.170000002</v>
      </c>
      <c r="C26" s="11">
        <v>32201284.170000002</v>
      </c>
      <c r="D26" s="11">
        <v>0</v>
      </c>
      <c r="E26" s="14">
        <v>32201284.170000002</v>
      </c>
      <c r="F26" s="14">
        <f t="shared" ref="F26:F31" si="7">+E26/C26</f>
        <v>1</v>
      </c>
      <c r="G26" s="251">
        <f t="shared" ref="G26:G40" si="8">+C26+D26-E26</f>
        <v>0</v>
      </c>
      <c r="H26" s="11">
        <f>0+1626333.07</f>
        <v>1626333.07</v>
      </c>
      <c r="I26" s="14">
        <f>50868+4200</f>
        <v>55068</v>
      </c>
      <c r="J26" s="14">
        <f>1441899+62764+176738.07</f>
        <v>1681401.07</v>
      </c>
      <c r="K26" s="14">
        <f t="shared" ref="K26:K35" si="9">H26+I26-J26</f>
        <v>0</v>
      </c>
      <c r="L26" s="15">
        <f t="shared" ref="L26:L37" si="10">+F26</f>
        <v>1</v>
      </c>
      <c r="M26" s="250">
        <f t="shared" si="6"/>
        <v>0</v>
      </c>
      <c r="N26" s="279"/>
      <c r="O26" s="151"/>
    </row>
    <row r="27" spans="1:18" x14ac:dyDescent="0.2">
      <c r="A27" s="139" t="s">
        <v>21</v>
      </c>
      <c r="B27" s="11">
        <v>375916.69</v>
      </c>
      <c r="C27" s="11">
        <v>375916.69</v>
      </c>
      <c r="D27" s="11">
        <v>0</v>
      </c>
      <c r="E27" s="11">
        <v>364122.38</v>
      </c>
      <c r="F27" s="14">
        <f t="shared" si="7"/>
        <v>0.9686252025681541</v>
      </c>
      <c r="G27" s="251">
        <f t="shared" si="8"/>
        <v>11794.309999999998</v>
      </c>
      <c r="H27" s="11">
        <v>11794.31</v>
      </c>
      <c r="I27" s="14">
        <v>0</v>
      </c>
      <c r="J27" s="14">
        <v>0</v>
      </c>
      <c r="K27" s="14">
        <f t="shared" si="9"/>
        <v>11794.31</v>
      </c>
      <c r="L27" s="15">
        <f t="shared" si="10"/>
        <v>0.9686252025681541</v>
      </c>
      <c r="M27" s="236">
        <f t="shared" si="6"/>
        <v>0</v>
      </c>
      <c r="N27" s="280"/>
    </row>
    <row r="28" spans="1:18" x14ac:dyDescent="0.2">
      <c r="A28" s="139" t="s">
        <v>22</v>
      </c>
      <c r="B28" s="11">
        <v>553292.86</v>
      </c>
      <c r="C28" s="11">
        <v>553292.86</v>
      </c>
      <c r="D28" s="11">
        <v>0</v>
      </c>
      <c r="E28" s="11">
        <v>549193.92000000004</v>
      </c>
      <c r="F28" s="14">
        <f t="shared" si="7"/>
        <v>0.99259173523403155</v>
      </c>
      <c r="G28" s="251">
        <f t="shared" si="8"/>
        <v>4098.9399999999441</v>
      </c>
      <c r="H28" s="11">
        <v>4098.9399999999996</v>
      </c>
      <c r="I28" s="14">
        <v>0</v>
      </c>
      <c r="J28" s="14">
        <v>0</v>
      </c>
      <c r="K28" s="14">
        <f t="shared" si="9"/>
        <v>4098.9399999999996</v>
      </c>
      <c r="L28" s="15">
        <f t="shared" si="10"/>
        <v>0.99259173523403155</v>
      </c>
      <c r="M28" s="236">
        <f t="shared" si="6"/>
        <v>5.5479176808148623E-11</v>
      </c>
      <c r="N28" s="280"/>
    </row>
    <row r="29" spans="1:18" x14ac:dyDescent="0.2">
      <c r="A29" s="139" t="s">
        <v>23</v>
      </c>
      <c r="B29" s="11">
        <v>1287364.3999999999</v>
      </c>
      <c r="C29" s="11">
        <v>1287364.3999999999</v>
      </c>
      <c r="D29" s="11">
        <v>0</v>
      </c>
      <c r="E29" s="11">
        <v>1286941.03</v>
      </c>
      <c r="F29" s="14">
        <f t="shared" si="7"/>
        <v>0.99967113429577525</v>
      </c>
      <c r="G29" s="251">
        <f t="shared" si="8"/>
        <v>423.36999999987893</v>
      </c>
      <c r="H29" s="11">
        <v>423.37</v>
      </c>
      <c r="I29" s="14">
        <v>0</v>
      </c>
      <c r="J29" s="14">
        <v>0</v>
      </c>
      <c r="K29" s="14">
        <f t="shared" si="9"/>
        <v>423.37</v>
      </c>
      <c r="L29" s="15">
        <f t="shared" si="10"/>
        <v>0.99967113429577525</v>
      </c>
      <c r="M29" s="236">
        <f t="shared" si="6"/>
        <v>1.2107648217352107E-10</v>
      </c>
      <c r="N29" s="281"/>
    </row>
    <row r="30" spans="1:18" x14ac:dyDescent="0.2">
      <c r="A30" s="139" t="s">
        <v>24</v>
      </c>
      <c r="B30" s="11">
        <v>15340178.58</v>
      </c>
      <c r="C30" s="11">
        <v>15340178.58</v>
      </c>
      <c r="D30" s="11">
        <v>0</v>
      </c>
      <c r="E30" s="14">
        <f>15320249.52</f>
        <v>15320249.52</v>
      </c>
      <c r="F30" s="14">
        <f t="shared" si="7"/>
        <v>0.99870085867018632</v>
      </c>
      <c r="G30" s="251">
        <f t="shared" si="8"/>
        <v>19929.060000000522</v>
      </c>
      <c r="H30" s="11">
        <v>501651.06</v>
      </c>
      <c r="I30" s="14">
        <v>0</v>
      </c>
      <c r="J30" s="14">
        <f>419314+2000+60408</f>
        <v>481722</v>
      </c>
      <c r="K30" s="14">
        <f t="shared" si="9"/>
        <v>19929.059999999998</v>
      </c>
      <c r="L30" s="15">
        <f t="shared" si="10"/>
        <v>0.99870085867018632</v>
      </c>
      <c r="M30" s="62">
        <f t="shared" si="6"/>
        <v>-5.2386894822120667E-10</v>
      </c>
      <c r="N30" s="281"/>
      <c r="O30" s="151"/>
    </row>
    <row r="31" spans="1:18" x14ac:dyDescent="0.2">
      <c r="A31" s="139" t="s">
        <v>25</v>
      </c>
      <c r="B31" s="11">
        <v>1461552.81</v>
      </c>
      <c r="C31" s="11">
        <v>1461552.81</v>
      </c>
      <c r="D31" s="11">
        <v>0</v>
      </c>
      <c r="E31" s="14">
        <v>1315379.46</v>
      </c>
      <c r="F31" s="14">
        <f t="shared" si="7"/>
        <v>0.89998763712137086</v>
      </c>
      <c r="G31" s="251">
        <f t="shared" si="8"/>
        <v>146173.35000000009</v>
      </c>
      <c r="H31" s="11">
        <v>146173.35</v>
      </c>
      <c r="I31" s="14">
        <v>0</v>
      </c>
      <c r="J31" s="14">
        <v>0</v>
      </c>
      <c r="K31" s="14">
        <f t="shared" si="9"/>
        <v>146173.35</v>
      </c>
      <c r="L31" s="15">
        <f t="shared" si="10"/>
        <v>0.89998763712137086</v>
      </c>
      <c r="M31" s="236">
        <f t="shared" si="6"/>
        <v>0</v>
      </c>
      <c r="N31" s="281"/>
    </row>
    <row r="32" spans="1:18" x14ac:dyDescent="0.2">
      <c r="A32" s="139" t="s">
        <v>53</v>
      </c>
      <c r="B32" s="11">
        <v>888239.11</v>
      </c>
      <c r="C32" s="11">
        <v>888239.11</v>
      </c>
      <c r="D32" s="11">
        <v>0</v>
      </c>
      <c r="E32" s="11">
        <v>651043.92000000004</v>
      </c>
      <c r="F32" s="14">
        <v>0</v>
      </c>
      <c r="G32" s="251">
        <f t="shared" si="8"/>
        <v>237195.18999999994</v>
      </c>
      <c r="H32" s="11">
        <v>237195.19</v>
      </c>
      <c r="I32" s="14">
        <v>0</v>
      </c>
      <c r="J32" s="14">
        <v>0</v>
      </c>
      <c r="K32" s="14">
        <f t="shared" si="9"/>
        <v>237195.19</v>
      </c>
      <c r="L32" s="15">
        <f t="shared" si="10"/>
        <v>0</v>
      </c>
      <c r="M32" s="236">
        <f t="shared" si="6"/>
        <v>0</v>
      </c>
      <c r="N32" s="281"/>
    </row>
    <row r="33" spans="1:18" x14ac:dyDescent="0.2">
      <c r="A33" s="139" t="s">
        <v>27</v>
      </c>
      <c r="B33" s="11">
        <v>0</v>
      </c>
      <c r="C33" s="11">
        <v>0</v>
      </c>
      <c r="D33" s="11">
        <v>0</v>
      </c>
      <c r="E33" s="11">
        <v>0</v>
      </c>
      <c r="F33" s="14">
        <v>0</v>
      </c>
      <c r="G33" s="251">
        <f t="shared" si="8"/>
        <v>0</v>
      </c>
      <c r="H33" s="11">
        <v>0</v>
      </c>
      <c r="I33" s="14">
        <v>0</v>
      </c>
      <c r="J33" s="14">
        <v>0</v>
      </c>
      <c r="K33" s="14">
        <f t="shared" si="9"/>
        <v>0</v>
      </c>
      <c r="L33" s="15">
        <f t="shared" si="10"/>
        <v>0</v>
      </c>
      <c r="M33" s="236">
        <f t="shared" si="6"/>
        <v>0</v>
      </c>
      <c r="N33" s="281"/>
    </row>
    <row r="34" spans="1:18" x14ac:dyDescent="0.2">
      <c r="A34" s="139" t="s">
        <v>28</v>
      </c>
      <c r="B34" s="11">
        <v>60034.41</v>
      </c>
      <c r="C34" s="11">
        <v>60034.41</v>
      </c>
      <c r="D34" s="11">
        <v>0</v>
      </c>
      <c r="E34" s="11">
        <v>36692.129999999997</v>
      </c>
      <c r="F34" s="14">
        <v>0</v>
      </c>
      <c r="G34" s="251">
        <f t="shared" si="8"/>
        <v>23342.280000000006</v>
      </c>
      <c r="H34" s="11">
        <v>23342.28</v>
      </c>
      <c r="I34" s="14">
        <v>0</v>
      </c>
      <c r="J34" s="14">
        <v>0</v>
      </c>
      <c r="K34" s="14">
        <f t="shared" si="9"/>
        <v>23342.28</v>
      </c>
      <c r="L34" s="15">
        <f t="shared" si="10"/>
        <v>0</v>
      </c>
      <c r="M34" s="236">
        <f t="shared" si="6"/>
        <v>0</v>
      </c>
      <c r="N34" s="270"/>
    </row>
    <row r="35" spans="1:18" ht="27" x14ac:dyDescent="0.2">
      <c r="A35" s="139" t="s">
        <v>136</v>
      </c>
      <c r="B35" s="11">
        <v>2201262.25</v>
      </c>
      <c r="C35" s="11">
        <v>2201262.25</v>
      </c>
      <c r="D35" s="11">
        <v>818.27</v>
      </c>
      <c r="E35" s="11">
        <v>2193712.5099999998</v>
      </c>
      <c r="F35" s="14"/>
      <c r="G35" s="251">
        <f t="shared" si="8"/>
        <v>8368.0100000002421</v>
      </c>
      <c r="H35" s="11">
        <v>8368.01</v>
      </c>
      <c r="I35" s="14">
        <v>0</v>
      </c>
      <c r="J35" s="14">
        <v>0</v>
      </c>
      <c r="K35" s="14">
        <f t="shared" si="9"/>
        <v>8368.01</v>
      </c>
      <c r="L35" s="15">
        <f t="shared" si="10"/>
        <v>0</v>
      </c>
      <c r="M35" s="236">
        <f t="shared" si="6"/>
        <v>-2.4192559067159891E-10</v>
      </c>
      <c r="N35" s="270"/>
    </row>
    <row r="36" spans="1:18" x14ac:dyDescent="0.2">
      <c r="A36" s="139" t="s">
        <v>29</v>
      </c>
      <c r="B36" s="11">
        <v>29358891.780000001</v>
      </c>
      <c r="C36" s="11">
        <v>29358891.780000001</v>
      </c>
      <c r="D36" s="11">
        <v>644200.78</v>
      </c>
      <c r="E36" s="11">
        <v>29358059.32</v>
      </c>
      <c r="F36" s="14">
        <f>+E36/C36</f>
        <v>0.99997164538749495</v>
      </c>
      <c r="G36" s="251">
        <f t="shared" si="8"/>
        <v>645033.24000000209</v>
      </c>
      <c r="H36" s="11">
        <f>27044389.8+0</f>
        <v>27044389.800000001</v>
      </c>
      <c r="I36" s="14">
        <v>2958702.76</v>
      </c>
      <c r="J36" s="14">
        <v>29358059.32</v>
      </c>
      <c r="K36" s="14">
        <f>H36+I36-J36</f>
        <v>645033.24000000209</v>
      </c>
      <c r="L36" s="15">
        <f t="shared" si="10"/>
        <v>0.99997164538749495</v>
      </c>
      <c r="M36" s="236">
        <f t="shared" si="6"/>
        <v>0</v>
      </c>
      <c r="N36" s="270"/>
    </row>
    <row r="37" spans="1:18" x14ac:dyDescent="0.2">
      <c r="A37" s="139" t="s">
        <v>30</v>
      </c>
      <c r="B37" s="11">
        <v>23067538.390000001</v>
      </c>
      <c r="C37" s="11">
        <v>23067538.390000001</v>
      </c>
      <c r="D37" s="11">
        <v>0</v>
      </c>
      <c r="E37" s="14">
        <f>23067538.39-13458.57</f>
        <v>23054079.82</v>
      </c>
      <c r="F37" s="14">
        <f>+E37/C37</f>
        <v>0.99941655803179086</v>
      </c>
      <c r="G37" s="251">
        <f t="shared" si="8"/>
        <v>13458.570000000298</v>
      </c>
      <c r="H37" s="11">
        <v>374090.59</v>
      </c>
      <c r="I37" s="14">
        <f>713.4+45970</f>
        <v>46683.4</v>
      </c>
      <c r="J37" s="14">
        <f>275061+132254.42</f>
        <v>407315.42000000004</v>
      </c>
      <c r="K37" s="14">
        <f>H37+I37-J37</f>
        <v>13458.570000000007</v>
      </c>
      <c r="L37" s="15">
        <f t="shared" si="10"/>
        <v>0.99941655803179086</v>
      </c>
      <c r="M37" s="107">
        <f t="shared" si="6"/>
        <v>-2.9103830456733704E-10</v>
      </c>
      <c r="N37" s="284" t="s">
        <v>52</v>
      </c>
      <c r="Q37" s="141"/>
      <c r="R37" s="144"/>
    </row>
    <row r="38" spans="1:18" x14ac:dyDescent="0.2">
      <c r="A38" s="139" t="s">
        <v>57</v>
      </c>
      <c r="B38" s="11">
        <v>1483495.05</v>
      </c>
      <c r="C38" s="11">
        <v>1483495.05</v>
      </c>
      <c r="D38" s="11">
        <v>4256.42</v>
      </c>
      <c r="E38" s="14">
        <v>1461506.21</v>
      </c>
      <c r="F38" s="14">
        <f>+E38/C38</f>
        <v>0.98517767888743535</v>
      </c>
      <c r="G38" s="251">
        <f t="shared" si="8"/>
        <v>26245.260000000009</v>
      </c>
      <c r="H38" s="11">
        <v>26245.26</v>
      </c>
      <c r="I38" s="14">
        <v>0</v>
      </c>
      <c r="J38" s="14">
        <v>0</v>
      </c>
      <c r="K38" s="14">
        <f>H38+I38-J38</f>
        <v>26245.26</v>
      </c>
      <c r="L38" s="15">
        <f>+F38</f>
        <v>0.98517767888743535</v>
      </c>
      <c r="M38" s="107">
        <f t="shared" si="6"/>
        <v>0</v>
      </c>
      <c r="N38" s="284"/>
      <c r="Q38" s="141"/>
      <c r="R38" s="144"/>
    </row>
    <row r="39" spans="1:18" x14ac:dyDescent="0.2">
      <c r="A39" s="139" t="s">
        <v>139</v>
      </c>
      <c r="B39" s="14">
        <v>1364024.1</v>
      </c>
      <c r="C39" s="14">
        <v>1364024.1</v>
      </c>
      <c r="D39" s="11">
        <f>940.83+935.1+658.75</f>
        <v>2534.6800000000003</v>
      </c>
      <c r="E39" s="14">
        <v>1364018.1</v>
      </c>
      <c r="F39" s="14">
        <f>+E39/C39</f>
        <v>0.99999560125074038</v>
      </c>
      <c r="G39" s="251">
        <f t="shared" si="8"/>
        <v>2540.6799999999348</v>
      </c>
      <c r="H39" s="11">
        <v>957353.35</v>
      </c>
      <c r="I39" s="14">
        <v>409205.43</v>
      </c>
      <c r="J39" s="14">
        <v>1364018.1</v>
      </c>
      <c r="K39" s="14">
        <f>H39+I39-J39</f>
        <v>2540.6799999999348</v>
      </c>
      <c r="L39" s="15">
        <f>+F39</f>
        <v>0.99999560125074038</v>
      </c>
      <c r="M39" s="107">
        <f t="shared" si="6"/>
        <v>0</v>
      </c>
      <c r="N39" s="284"/>
      <c r="Q39" s="141"/>
      <c r="R39" s="144"/>
    </row>
    <row r="40" spans="1:18" ht="40.5" x14ac:dyDescent="0.2">
      <c r="A40" s="139" t="s">
        <v>135</v>
      </c>
      <c r="B40" s="11">
        <v>199999.99</v>
      </c>
      <c r="C40" s="11">
        <v>199999.99</v>
      </c>
      <c r="D40" s="11">
        <f>113.52+264.05+123.8+26.23</f>
        <v>527.6</v>
      </c>
      <c r="E40" s="14">
        <v>199730.99</v>
      </c>
      <c r="F40" s="14">
        <f>+E40/C40</f>
        <v>0.99865499993274998</v>
      </c>
      <c r="G40" s="251">
        <f t="shared" si="8"/>
        <v>796.60000000000582</v>
      </c>
      <c r="H40" s="11">
        <v>683.08</v>
      </c>
      <c r="I40" s="14">
        <f>180000+5000</f>
        <v>185000</v>
      </c>
      <c r="J40" s="14">
        <f>102106.79+5000+77779.69</f>
        <v>184886.47999999998</v>
      </c>
      <c r="K40" s="14">
        <f>H40+I40-J40</f>
        <v>796.60000000000582</v>
      </c>
      <c r="L40" s="15">
        <f>+F40</f>
        <v>0.99865499993274998</v>
      </c>
      <c r="M40" s="107">
        <f t="shared" si="6"/>
        <v>0</v>
      </c>
      <c r="N40" s="284"/>
      <c r="Q40" s="141"/>
      <c r="R40" s="144"/>
    </row>
    <row r="41" spans="1:18" s="5" customFormat="1" x14ac:dyDescent="0.2">
      <c r="A41" s="248" t="s">
        <v>60</v>
      </c>
      <c r="B41" s="21">
        <f t="shared" ref="B41:K41" si="11">SUM(B25:B40)</f>
        <v>121081081.11999999</v>
      </c>
      <c r="C41" s="21">
        <f t="shared" si="11"/>
        <v>121081081.11999999</v>
      </c>
      <c r="D41" s="21">
        <f t="shared" si="11"/>
        <v>652337.75000000012</v>
      </c>
      <c r="E41" s="21">
        <f t="shared" si="11"/>
        <v>120412156.85999998</v>
      </c>
      <c r="F41" s="249">
        <f t="shared" si="11"/>
        <v>11.826610185716277</v>
      </c>
      <c r="G41" s="249">
        <f t="shared" si="11"/>
        <v>1321262.0100000035</v>
      </c>
      <c r="H41" s="249">
        <f t="shared" si="11"/>
        <v>31145748.590000004</v>
      </c>
      <c r="I41" s="249">
        <f t="shared" si="11"/>
        <v>3791914.01</v>
      </c>
      <c r="J41" s="249">
        <f t="shared" si="11"/>
        <v>33616400.590000004</v>
      </c>
      <c r="K41" s="249">
        <f t="shared" si="11"/>
        <v>1321262.0100000021</v>
      </c>
      <c r="L41" s="252"/>
      <c r="M41" s="118">
        <f>SUM(M25:M40)</f>
        <v>-1.2877308108727448E-9</v>
      </c>
      <c r="N41" s="203"/>
      <c r="O41" s="143"/>
      <c r="P41" s="143"/>
    </row>
    <row r="42" spans="1:18" s="17" customFormat="1" x14ac:dyDescent="0.25">
      <c r="A42" s="139" t="s">
        <v>18</v>
      </c>
      <c r="B42" s="10">
        <v>9668787.5</v>
      </c>
      <c r="C42" s="10">
        <f>+B42-8808992.11</f>
        <v>859795.3900000006</v>
      </c>
      <c r="D42" s="11">
        <v>0</v>
      </c>
      <c r="E42" s="10">
        <v>126202.22</v>
      </c>
      <c r="F42" s="12">
        <f>+E42/C42</f>
        <v>0.14678168953662327</v>
      </c>
      <c r="G42" s="109">
        <f t="shared" ref="G42:G55" si="12">+C42+D42-E42</f>
        <v>733593.17000000062</v>
      </c>
      <c r="H42" s="11">
        <v>760336.44</v>
      </c>
      <c r="I42" s="14">
        <f>35750.7+49054.32+10000+17400</f>
        <v>112205.01999999999</v>
      </c>
      <c r="J42" s="14">
        <f>42293+3275.91+3277.52+90101.86</f>
        <v>138948.29</v>
      </c>
      <c r="K42" s="14">
        <f>H42+I42-J42</f>
        <v>733593.16999999993</v>
      </c>
      <c r="L42" s="15">
        <f>+F42</f>
        <v>0.14678168953662327</v>
      </c>
      <c r="M42" s="62">
        <f t="shared" ref="M42:M55" si="13">+K42-G42</f>
        <v>0</v>
      </c>
      <c r="N42" s="271"/>
      <c r="O42" s="153"/>
      <c r="P42" s="142"/>
    </row>
    <row r="43" spans="1:18" x14ac:dyDescent="0.2">
      <c r="A43" s="262" t="s">
        <v>20</v>
      </c>
      <c r="B43" s="109">
        <v>27138333.23</v>
      </c>
      <c r="C43" s="109">
        <v>27138333.23</v>
      </c>
      <c r="D43" s="261">
        <v>0</v>
      </c>
      <c r="E43" s="109">
        <f>26415966.23+831927-8117.68</f>
        <v>27239775.550000001</v>
      </c>
      <c r="F43" s="263">
        <f t="shared" ref="F43:F48" si="14">+E43/C43</f>
        <v>1.003737971641083</v>
      </c>
      <c r="G43" s="109">
        <f t="shared" si="12"/>
        <v>-101442.3200000003</v>
      </c>
      <c r="H43" s="264">
        <v>391978.01</v>
      </c>
      <c r="I43" s="201">
        <v>37944</v>
      </c>
      <c r="J43" s="201">
        <f>326678+16708.93+21550.06+166427.34</f>
        <v>531364.32999999996</v>
      </c>
      <c r="K43" s="201">
        <f t="shared" ref="K43:K50" si="15">H43+I43-J43</f>
        <v>-101442.31999999995</v>
      </c>
      <c r="L43" s="265">
        <f t="shared" ref="L43:L55" si="16">+F43</f>
        <v>1.003737971641083</v>
      </c>
      <c r="M43" s="62">
        <f t="shared" si="13"/>
        <v>3.4924596548080444E-10</v>
      </c>
      <c r="N43" s="272"/>
      <c r="O43" s="151"/>
    </row>
    <row r="44" spans="1:18" x14ac:dyDescent="0.2">
      <c r="A44" s="139" t="s">
        <v>21</v>
      </c>
      <c r="B44" s="10">
        <v>321506.03999999998</v>
      </c>
      <c r="C44" s="10">
        <f>+B44-280892.37</f>
        <v>40613.669999999984</v>
      </c>
      <c r="D44" s="11">
        <v>0</v>
      </c>
      <c r="E44" s="11">
        <v>40613.67</v>
      </c>
      <c r="F44" s="12">
        <f t="shared" si="14"/>
        <v>1.0000000000000004</v>
      </c>
      <c r="G44" s="109">
        <f t="shared" si="12"/>
        <v>0</v>
      </c>
      <c r="H44" s="13">
        <v>0</v>
      </c>
      <c r="I44" s="14">
        <v>0</v>
      </c>
      <c r="J44" s="14">
        <v>0</v>
      </c>
      <c r="K44" s="14">
        <f t="shared" si="15"/>
        <v>0</v>
      </c>
      <c r="L44" s="15">
        <f t="shared" si="16"/>
        <v>1.0000000000000004</v>
      </c>
      <c r="M44" s="62">
        <f t="shared" si="13"/>
        <v>0</v>
      </c>
    </row>
    <row r="45" spans="1:18" x14ac:dyDescent="0.2">
      <c r="A45" s="139" t="s">
        <v>22</v>
      </c>
      <c r="B45" s="10">
        <v>570803.89</v>
      </c>
      <c r="C45" s="10">
        <f>+B45-491970.23</f>
        <v>78833.660000000033</v>
      </c>
      <c r="D45" s="11">
        <v>0</v>
      </c>
      <c r="E45" s="11">
        <v>78833.66</v>
      </c>
      <c r="F45" s="12">
        <f t="shared" si="14"/>
        <v>0.99999999999999967</v>
      </c>
      <c r="G45" s="109">
        <f t="shared" si="12"/>
        <v>0</v>
      </c>
      <c r="H45" s="13">
        <v>0</v>
      </c>
      <c r="I45" s="14">
        <v>0</v>
      </c>
      <c r="J45" s="14">
        <v>0</v>
      </c>
      <c r="K45" s="14">
        <f t="shared" si="15"/>
        <v>0</v>
      </c>
      <c r="L45" s="15">
        <f t="shared" si="16"/>
        <v>0.99999999999999967</v>
      </c>
      <c r="M45" s="62">
        <f t="shared" si="13"/>
        <v>0</v>
      </c>
    </row>
    <row r="46" spans="1:18" x14ac:dyDescent="0.2">
      <c r="A46" s="139" t="s">
        <v>23</v>
      </c>
      <c r="B46" s="10">
        <v>1307693.44</v>
      </c>
      <c r="C46" s="10">
        <f>+B46-1273287.15</f>
        <v>34406.290000000037</v>
      </c>
      <c r="D46" s="11">
        <v>0</v>
      </c>
      <c r="E46" s="11">
        <v>34406.29</v>
      </c>
      <c r="F46" s="12">
        <f t="shared" si="14"/>
        <v>0.99999999999999889</v>
      </c>
      <c r="G46" s="109">
        <f t="shared" si="12"/>
        <v>0</v>
      </c>
      <c r="H46" s="13">
        <v>0</v>
      </c>
      <c r="I46" s="14">
        <v>0</v>
      </c>
      <c r="J46" s="14">
        <v>0</v>
      </c>
      <c r="K46" s="14">
        <f t="shared" si="15"/>
        <v>0</v>
      </c>
      <c r="L46" s="15">
        <f t="shared" si="16"/>
        <v>0.99999999999999889</v>
      </c>
      <c r="M46" s="62">
        <f t="shared" si="13"/>
        <v>0</v>
      </c>
    </row>
    <row r="47" spans="1:18" x14ac:dyDescent="0.2">
      <c r="A47" s="139" t="s">
        <v>24</v>
      </c>
      <c r="B47" s="10">
        <v>14234360.859999999</v>
      </c>
      <c r="C47" s="10">
        <f>+B47-14197791.76</f>
        <v>36569.099999999627</v>
      </c>
      <c r="D47" s="11">
        <v>0</v>
      </c>
      <c r="E47" s="10">
        <v>208.8</v>
      </c>
      <c r="F47" s="12">
        <f t="shared" si="14"/>
        <v>5.7097385497592813E-3</v>
      </c>
      <c r="G47" s="109">
        <f t="shared" si="12"/>
        <v>36360.299999999625</v>
      </c>
      <c r="H47" s="13">
        <v>-340080.7</v>
      </c>
      <c r="I47" s="14">
        <v>782752</v>
      </c>
      <c r="J47" s="14">
        <f>280823+125488</f>
        <v>406311</v>
      </c>
      <c r="K47" s="14">
        <f t="shared" si="15"/>
        <v>36360.299999999988</v>
      </c>
      <c r="L47" s="15">
        <f t="shared" si="16"/>
        <v>5.7097385497592813E-3</v>
      </c>
      <c r="M47" s="62">
        <f t="shared" si="13"/>
        <v>3.637978807091713E-10</v>
      </c>
      <c r="O47" s="151"/>
    </row>
    <row r="48" spans="1:18" x14ac:dyDescent="0.2">
      <c r="A48" s="139" t="s">
        <v>25</v>
      </c>
      <c r="B48" s="10">
        <v>658261.61</v>
      </c>
      <c r="C48" s="10">
        <f>+B48-367499.68</f>
        <v>290761.93</v>
      </c>
      <c r="D48" s="11">
        <v>0</v>
      </c>
      <c r="E48" s="10">
        <v>281389.86</v>
      </c>
      <c r="F48" s="12">
        <f t="shared" si="14"/>
        <v>0.96776720391146109</v>
      </c>
      <c r="G48" s="109">
        <f t="shared" si="12"/>
        <v>9372.070000000007</v>
      </c>
      <c r="H48" s="13">
        <v>56340.94</v>
      </c>
      <c r="I48" s="14">
        <v>0</v>
      </c>
      <c r="J48" s="14">
        <v>46968.87</v>
      </c>
      <c r="K48" s="14">
        <f t="shared" si="15"/>
        <v>9372.07</v>
      </c>
      <c r="L48" s="15">
        <f t="shared" si="16"/>
        <v>0.96776720391146109</v>
      </c>
      <c r="M48" s="62">
        <f t="shared" si="13"/>
        <v>0</v>
      </c>
    </row>
    <row r="49" spans="1:18" x14ac:dyDescent="0.2">
      <c r="A49" s="139" t="s">
        <v>53</v>
      </c>
      <c r="B49" s="10">
        <v>158979.12</v>
      </c>
      <c r="C49" s="10">
        <f>+B49</f>
        <v>158979.12</v>
      </c>
      <c r="D49" s="11">
        <v>0</v>
      </c>
      <c r="E49" s="11">
        <v>120000</v>
      </c>
      <c r="F49" s="12">
        <v>0</v>
      </c>
      <c r="G49" s="201">
        <f t="shared" si="12"/>
        <v>38979.119999999995</v>
      </c>
      <c r="H49" s="11">
        <v>43979.12</v>
      </c>
      <c r="I49" s="14">
        <v>0</v>
      </c>
      <c r="J49" s="14">
        <v>5000</v>
      </c>
      <c r="K49" s="14">
        <f t="shared" si="15"/>
        <v>38979.120000000003</v>
      </c>
      <c r="L49" s="15">
        <f t="shared" si="16"/>
        <v>0</v>
      </c>
      <c r="M49" s="62">
        <f t="shared" si="13"/>
        <v>0</v>
      </c>
    </row>
    <row r="50" spans="1:18" x14ac:dyDescent="0.2">
      <c r="A50" s="139" t="s">
        <v>28</v>
      </c>
      <c r="B50" s="10">
        <v>47798.07</v>
      </c>
      <c r="C50" s="10">
        <f>+B50-23516.14</f>
        <v>24281.93</v>
      </c>
      <c r="D50" s="11">
        <v>0</v>
      </c>
      <c r="E50" s="11">
        <v>0</v>
      </c>
      <c r="F50" s="12">
        <v>0</v>
      </c>
      <c r="G50" s="201">
        <f t="shared" si="12"/>
        <v>24281.93</v>
      </c>
      <c r="H50" s="11">
        <v>24281.93</v>
      </c>
      <c r="I50" s="14">
        <v>0</v>
      </c>
      <c r="J50" s="14">
        <v>0</v>
      </c>
      <c r="K50" s="14">
        <f t="shared" si="15"/>
        <v>24281.93</v>
      </c>
      <c r="L50" s="15">
        <f t="shared" si="16"/>
        <v>0</v>
      </c>
      <c r="M50" s="62">
        <f t="shared" si="13"/>
        <v>0</v>
      </c>
      <c r="N50" s="270"/>
    </row>
    <row r="51" spans="1:18" x14ac:dyDescent="0.2">
      <c r="A51" s="139" t="s">
        <v>29</v>
      </c>
      <c r="B51" s="10">
        <v>27972730</v>
      </c>
      <c r="C51" s="10">
        <f>+B51-27809818.06</f>
        <v>162911.94000000134</v>
      </c>
      <c r="D51" s="11">
        <v>186451.15</v>
      </c>
      <c r="E51" s="11">
        <v>0</v>
      </c>
      <c r="F51" s="12">
        <f>+E51/C51</f>
        <v>0</v>
      </c>
      <c r="G51" s="109">
        <f t="shared" si="12"/>
        <v>349363.09000000136</v>
      </c>
      <c r="H51" s="13">
        <v>656033.13</v>
      </c>
      <c r="I51" s="14">
        <f>-1</f>
        <v>-1</v>
      </c>
      <c r="J51" s="14">
        <f>219666.96+67322.53+19679.55</f>
        <v>306669.03999999998</v>
      </c>
      <c r="K51" s="14">
        <f>H51+I51-J51</f>
        <v>349363.09</v>
      </c>
      <c r="L51" s="15">
        <f t="shared" si="16"/>
        <v>0</v>
      </c>
      <c r="M51" s="62">
        <f t="shared" si="13"/>
        <v>-1.3387762010097504E-9</v>
      </c>
      <c r="N51" s="272"/>
    </row>
    <row r="52" spans="1:18" x14ac:dyDescent="0.2">
      <c r="A52" s="139" t="s">
        <v>30</v>
      </c>
      <c r="B52" s="10">
        <v>21170988.52</v>
      </c>
      <c r="C52" s="10">
        <f>+B52-21163370.79</f>
        <v>7617.730000000447</v>
      </c>
      <c r="D52" s="11">
        <v>0</v>
      </c>
      <c r="E52" s="10">
        <v>0</v>
      </c>
      <c r="F52" s="12">
        <f>+E52/C52</f>
        <v>0</v>
      </c>
      <c r="G52" s="109">
        <f t="shared" si="12"/>
        <v>7617.730000000447</v>
      </c>
      <c r="H52" s="13">
        <v>113156.96</v>
      </c>
      <c r="I52" s="14">
        <f>63664.06+25043.71</f>
        <v>88707.76999999999</v>
      </c>
      <c r="J52" s="14">
        <f>170257+6000+17990</f>
        <v>194247</v>
      </c>
      <c r="K52" s="14">
        <f>H52+I52-J52</f>
        <v>7617.7299999999814</v>
      </c>
      <c r="L52" s="15">
        <f t="shared" si="16"/>
        <v>0</v>
      </c>
      <c r="M52" s="107">
        <f t="shared" si="13"/>
        <v>-4.6566128730773926E-10</v>
      </c>
      <c r="N52" s="273"/>
      <c r="Q52" s="141"/>
      <c r="R52" s="144"/>
    </row>
    <row r="53" spans="1:18" ht="27" x14ac:dyDescent="0.2">
      <c r="A53" s="139" t="s">
        <v>56</v>
      </c>
      <c r="B53" s="10">
        <v>1500000</v>
      </c>
      <c r="C53" s="10">
        <f>1500000-1499965.2</f>
        <v>34.800000000046566</v>
      </c>
      <c r="D53" s="11">
        <v>0</v>
      </c>
      <c r="E53" s="10">
        <v>0</v>
      </c>
      <c r="F53" s="12">
        <f>+E53/C53</f>
        <v>0</v>
      </c>
      <c r="G53" s="109">
        <f t="shared" si="12"/>
        <v>34.800000000046566</v>
      </c>
      <c r="H53" s="13">
        <v>34.799999999999997</v>
      </c>
      <c r="I53" s="14">
        <v>0</v>
      </c>
      <c r="J53" s="14">
        <v>0</v>
      </c>
      <c r="K53" s="14">
        <f>H53+I53-J53</f>
        <v>34.799999999999997</v>
      </c>
      <c r="L53" s="15">
        <f t="shared" si="16"/>
        <v>0</v>
      </c>
      <c r="M53" s="107">
        <f t="shared" si="13"/>
        <v>-4.6568970901716966E-11</v>
      </c>
      <c r="N53" s="273"/>
      <c r="Q53" s="141"/>
      <c r="R53" s="144"/>
    </row>
    <row r="54" spans="1:18" x14ac:dyDescent="0.2">
      <c r="A54" s="139" t="s">
        <v>58</v>
      </c>
      <c r="B54" s="10">
        <v>8800000</v>
      </c>
      <c r="C54" s="10">
        <f>+B54-8793327.97</f>
        <v>6672.0299999993294</v>
      </c>
      <c r="D54" s="11">
        <v>0</v>
      </c>
      <c r="E54" s="10">
        <v>0</v>
      </c>
      <c r="F54" s="12">
        <f>+E54/C54</f>
        <v>0</v>
      </c>
      <c r="G54" s="109">
        <f t="shared" si="12"/>
        <v>6672.0299999993294</v>
      </c>
      <c r="H54" s="13">
        <v>136749.53</v>
      </c>
      <c r="I54" s="14">
        <v>0</v>
      </c>
      <c r="J54" s="14">
        <f>75804.55+37902.27+11370.68+5000</f>
        <v>130077.5</v>
      </c>
      <c r="K54" s="14">
        <f>H54+I54-J54</f>
        <v>6672.0299999999988</v>
      </c>
      <c r="L54" s="15">
        <f t="shared" si="16"/>
        <v>0</v>
      </c>
      <c r="M54" s="107">
        <f t="shared" si="13"/>
        <v>6.6938810050487518E-10</v>
      </c>
      <c r="N54" s="273"/>
      <c r="Q54" s="141"/>
      <c r="R54" s="144"/>
    </row>
    <row r="55" spans="1:18" x14ac:dyDescent="0.2">
      <c r="A55" s="139" t="s">
        <v>57</v>
      </c>
      <c r="B55" s="10">
        <v>3362600</v>
      </c>
      <c r="C55" s="10">
        <f>+B55-3361389.36</f>
        <v>1210.6400000001304</v>
      </c>
      <c r="D55" s="11">
        <v>0</v>
      </c>
      <c r="E55" s="10">
        <v>0</v>
      </c>
      <c r="F55" s="12">
        <f>+E55/C55</f>
        <v>0</v>
      </c>
      <c r="G55" s="109">
        <f t="shared" si="12"/>
        <v>1210.6400000001304</v>
      </c>
      <c r="H55" s="13">
        <v>54023.49</v>
      </c>
      <c r="I55" s="14">
        <v>0</v>
      </c>
      <c r="J55" s="14">
        <f>28977.48+14488.74+4346.63+5000</f>
        <v>52812.85</v>
      </c>
      <c r="K55" s="14">
        <f>H55+I55-J55</f>
        <v>1210.6399999999994</v>
      </c>
      <c r="L55" s="15">
        <f t="shared" si="16"/>
        <v>0</v>
      </c>
      <c r="M55" s="107">
        <f t="shared" si="13"/>
        <v>-1.3096723705530167E-10</v>
      </c>
      <c r="N55" s="273"/>
      <c r="Q55" s="141"/>
      <c r="R55" s="144"/>
    </row>
    <row r="56" spans="1:18" s="5" customFormat="1" x14ac:dyDescent="0.2">
      <c r="A56" s="20" t="s">
        <v>51</v>
      </c>
      <c r="B56" s="21">
        <f t="shared" ref="B56:K56" si="17">SUM(B42:B52)</f>
        <v>103250242.27999999</v>
      </c>
      <c r="C56" s="21">
        <f t="shared" si="17"/>
        <v>28833103.990000006</v>
      </c>
      <c r="D56" s="21">
        <f t="shared" si="17"/>
        <v>186451.15</v>
      </c>
      <c r="E56" s="21">
        <f t="shared" si="17"/>
        <v>27921430.050000001</v>
      </c>
      <c r="F56" s="21">
        <f t="shared" si="17"/>
        <v>5.1239966036389255</v>
      </c>
      <c r="G56" s="21">
        <f t="shared" si="17"/>
        <v>1098125.0900000017</v>
      </c>
      <c r="H56" s="21">
        <f t="shared" si="17"/>
        <v>1706025.83</v>
      </c>
      <c r="I56" s="21">
        <f t="shared" si="17"/>
        <v>1021607.79</v>
      </c>
      <c r="J56" s="21">
        <f t="shared" si="17"/>
        <v>1629508.5300000003</v>
      </c>
      <c r="K56" s="21">
        <f t="shared" si="17"/>
        <v>1098125.0899999999</v>
      </c>
      <c r="L56" s="23"/>
      <c r="M56" s="61"/>
      <c r="N56" s="203"/>
      <c r="O56" s="143"/>
      <c r="P56" s="143"/>
    </row>
    <row r="57" spans="1:18" s="17" customFormat="1" x14ac:dyDescent="0.25">
      <c r="A57" s="139" t="s">
        <v>18</v>
      </c>
      <c r="B57" s="10">
        <f>+C57</f>
        <v>557287.6400000006</v>
      </c>
      <c r="C57" s="10">
        <f>9497181.34-8522902.7-416991</f>
        <v>557287.6400000006</v>
      </c>
      <c r="D57" s="11">
        <v>0</v>
      </c>
      <c r="E57" s="10">
        <v>2038.23</v>
      </c>
      <c r="F57" s="12">
        <f>+E57/C57</f>
        <v>3.657411099230548E-3</v>
      </c>
      <c r="G57" s="10">
        <f>+C57+D57-E57</f>
        <v>555249.41000000061</v>
      </c>
      <c r="H57" s="13">
        <f>362224.72-0.47</f>
        <v>362224.25</v>
      </c>
      <c r="I57" s="14">
        <f>22013.2+172259.48</f>
        <v>194272.68000000002</v>
      </c>
      <c r="J57" s="14">
        <f>-4302.52+5550.04</f>
        <v>1247.5199999999995</v>
      </c>
      <c r="K57" s="14">
        <f>H57+I57-J57</f>
        <v>555249.41</v>
      </c>
      <c r="L57" s="15">
        <f>+F57</f>
        <v>3.657411099230548E-3</v>
      </c>
      <c r="M57" s="155">
        <f t="shared" ref="M57:M66" si="18">+K57-G57</f>
        <v>0</v>
      </c>
      <c r="N57" s="187"/>
      <c r="O57" s="142"/>
      <c r="P57" s="142"/>
    </row>
    <row r="58" spans="1:18" x14ac:dyDescent="0.2">
      <c r="A58" s="139" t="s">
        <v>20</v>
      </c>
      <c r="B58" s="10">
        <v>0</v>
      </c>
      <c r="C58" s="10">
        <f>981063.54-174602.54</f>
        <v>806461</v>
      </c>
      <c r="D58" s="11">
        <v>0</v>
      </c>
      <c r="E58" s="10">
        <v>0</v>
      </c>
      <c r="F58" s="12">
        <f t="shared" ref="F58:F67" si="19">+E58/C58</f>
        <v>0</v>
      </c>
      <c r="G58" s="10">
        <f>+C58+D58-E58</f>
        <v>806461</v>
      </c>
      <c r="H58" s="13">
        <v>1795340.56</v>
      </c>
      <c r="I58" s="14">
        <v>1162</v>
      </c>
      <c r="J58" s="14">
        <f>272555.03+160187.53+557299</f>
        <v>990041.56</v>
      </c>
      <c r="K58" s="14">
        <f t="shared" ref="K58:K83" si="20">H58+I58-J58</f>
        <v>806461</v>
      </c>
      <c r="L58" s="15">
        <f t="shared" ref="L58:L67" si="21">+F58</f>
        <v>0</v>
      </c>
      <c r="M58" s="62">
        <f>+K58-G58</f>
        <v>0</v>
      </c>
      <c r="N58" s="272"/>
    </row>
    <row r="59" spans="1:18" x14ac:dyDescent="0.2">
      <c r="A59" s="139" t="s">
        <v>21</v>
      </c>
      <c r="B59" s="10">
        <f t="shared" ref="B59:B67" si="22">+C59</f>
        <v>465.82999999998719</v>
      </c>
      <c r="C59" s="10">
        <f>266576.99-80893-185218.16</f>
        <v>465.82999999998719</v>
      </c>
      <c r="D59" s="11">
        <v>0</v>
      </c>
      <c r="E59" s="10">
        <v>0</v>
      </c>
      <c r="F59" s="12">
        <f t="shared" si="19"/>
        <v>0</v>
      </c>
      <c r="G59" s="10">
        <f>+C59+D59-E59</f>
        <v>465.82999999998719</v>
      </c>
      <c r="H59" s="13">
        <v>465.83</v>
      </c>
      <c r="I59" s="14">
        <v>0</v>
      </c>
      <c r="J59" s="14">
        <v>0</v>
      </c>
      <c r="K59" s="14">
        <f t="shared" si="20"/>
        <v>465.83</v>
      </c>
      <c r="L59" s="15">
        <f t="shared" si="21"/>
        <v>0</v>
      </c>
      <c r="M59" s="155">
        <f t="shared" si="18"/>
        <v>1.2789769243681803E-11</v>
      </c>
    </row>
    <row r="60" spans="1:18" x14ac:dyDescent="0.2">
      <c r="A60" s="139" t="s">
        <v>22</v>
      </c>
      <c r="B60" s="10">
        <f t="shared" si="22"/>
        <v>6067.4599999999627</v>
      </c>
      <c r="C60" s="10">
        <f>375412.66-201977-167368.2</f>
        <v>6067.4599999999627</v>
      </c>
      <c r="D60" s="10">
        <v>149.51</v>
      </c>
      <c r="E60" s="10">
        <v>0</v>
      </c>
      <c r="F60" s="12">
        <f t="shared" si="19"/>
        <v>0</v>
      </c>
      <c r="G60" s="10">
        <f t="shared" ref="G60:G65" si="23">+C60+D60-E60</f>
        <v>6216.969999999963</v>
      </c>
      <c r="H60" s="13">
        <v>6216.97</v>
      </c>
      <c r="I60" s="14">
        <v>0</v>
      </c>
      <c r="J60" s="14">
        <v>0</v>
      </c>
      <c r="K60" s="14">
        <f t="shared" si="20"/>
        <v>6216.97</v>
      </c>
      <c r="L60" s="15">
        <f t="shared" si="21"/>
        <v>0</v>
      </c>
      <c r="M60" s="62">
        <f t="shared" si="18"/>
        <v>3.7289282772690058E-11</v>
      </c>
    </row>
    <row r="61" spans="1:18" x14ac:dyDescent="0.2">
      <c r="A61" s="139" t="s">
        <v>23</v>
      </c>
      <c r="B61" s="10">
        <f t="shared" si="22"/>
        <v>17016.04999999993</v>
      </c>
      <c r="C61" s="10">
        <f>1302246.39-788192.61-497037.73</f>
        <v>17016.04999999993</v>
      </c>
      <c r="D61" s="10">
        <v>408.58</v>
      </c>
      <c r="E61" s="10">
        <v>0</v>
      </c>
      <c r="F61" s="12">
        <f t="shared" si="19"/>
        <v>0</v>
      </c>
      <c r="G61" s="10">
        <f t="shared" si="23"/>
        <v>17424.629999999932</v>
      </c>
      <c r="H61" s="13">
        <v>17424.63</v>
      </c>
      <c r="I61" s="14">
        <v>0</v>
      </c>
      <c r="J61" s="14">
        <v>0</v>
      </c>
      <c r="K61" s="14">
        <f t="shared" si="20"/>
        <v>17424.63</v>
      </c>
      <c r="L61" s="15">
        <f t="shared" si="21"/>
        <v>0</v>
      </c>
      <c r="M61" s="155">
        <f t="shared" si="18"/>
        <v>6.9121597334742546E-11</v>
      </c>
    </row>
    <row r="62" spans="1:18" x14ac:dyDescent="0.2">
      <c r="A62" s="139" t="s">
        <v>24</v>
      </c>
      <c r="B62" s="10">
        <f t="shared" si="22"/>
        <v>412246.5499999997</v>
      </c>
      <c r="C62" s="10">
        <f>13636634.35-13212786.17-11601.63</f>
        <v>412246.5499999997</v>
      </c>
      <c r="D62" s="11">
        <v>-459</v>
      </c>
      <c r="E62" s="10">
        <v>0</v>
      </c>
      <c r="F62" s="12">
        <f t="shared" si="19"/>
        <v>0</v>
      </c>
      <c r="G62" s="10">
        <f>+C62+D62-E62</f>
        <v>411787.5499999997</v>
      </c>
      <c r="H62" s="13">
        <v>37530.339999999997</v>
      </c>
      <c r="I62" s="14">
        <v>456237</v>
      </c>
      <c r="J62" s="14">
        <f>52394.42+7312.79+22272.58</f>
        <v>81979.790000000008</v>
      </c>
      <c r="K62" s="14">
        <f t="shared" si="20"/>
        <v>411787.54999999993</v>
      </c>
      <c r="L62" s="15">
        <f t="shared" si="21"/>
        <v>0</v>
      </c>
      <c r="M62" s="62">
        <f t="shared" si="18"/>
        <v>0</v>
      </c>
    </row>
    <row r="63" spans="1:18" x14ac:dyDescent="0.2">
      <c r="A63" s="139" t="s">
        <v>25</v>
      </c>
      <c r="B63" s="10">
        <f t="shared" si="22"/>
        <v>5151.3900000000722</v>
      </c>
      <c r="C63" s="10">
        <f>868753.03-542712.97-320888.67</f>
        <v>5151.3900000000722</v>
      </c>
      <c r="D63" s="10">
        <v>131.31</v>
      </c>
      <c r="E63" s="10">
        <v>0</v>
      </c>
      <c r="F63" s="12">
        <f t="shared" si="19"/>
        <v>0</v>
      </c>
      <c r="G63" s="10">
        <f t="shared" si="23"/>
        <v>5282.7000000000726</v>
      </c>
      <c r="H63" s="13">
        <v>5282.7</v>
      </c>
      <c r="I63" s="14">
        <v>0</v>
      </c>
      <c r="J63" s="14">
        <v>0</v>
      </c>
      <c r="K63" s="14">
        <f t="shared" si="20"/>
        <v>5282.7</v>
      </c>
      <c r="L63" s="15">
        <f t="shared" si="21"/>
        <v>0</v>
      </c>
      <c r="M63" s="155">
        <f t="shared" si="18"/>
        <v>-7.2759576141834259E-11</v>
      </c>
    </row>
    <row r="64" spans="1:18" x14ac:dyDescent="0.2">
      <c r="A64" s="139" t="s">
        <v>27</v>
      </c>
      <c r="B64" s="10">
        <f t="shared" si="22"/>
        <v>3767.3699999999953</v>
      </c>
      <c r="C64" s="10">
        <f>573447.69-569680.32</f>
        <v>3767.3699999999953</v>
      </c>
      <c r="D64" s="11">
        <v>0</v>
      </c>
      <c r="E64" s="10">
        <v>0</v>
      </c>
      <c r="F64" s="12">
        <f t="shared" si="19"/>
        <v>0</v>
      </c>
      <c r="G64" s="10">
        <f t="shared" si="23"/>
        <v>3767.3699999999953</v>
      </c>
      <c r="H64" s="13">
        <v>3767.37</v>
      </c>
      <c r="I64" s="14">
        <v>0</v>
      </c>
      <c r="J64" s="14">
        <v>0</v>
      </c>
      <c r="K64" s="14">
        <f t="shared" si="20"/>
        <v>3767.37</v>
      </c>
      <c r="L64" s="15">
        <f t="shared" si="21"/>
        <v>0</v>
      </c>
      <c r="M64" s="62">
        <f t="shared" si="18"/>
        <v>4.5474735088646412E-12</v>
      </c>
    </row>
    <row r="65" spans="1:16" x14ac:dyDescent="0.2">
      <c r="A65" s="139" t="s">
        <v>28</v>
      </c>
      <c r="B65" s="10">
        <f t="shared" si="22"/>
        <v>542.31999999999971</v>
      </c>
      <c r="C65" s="10">
        <f>36484.65-0-35942.33</f>
        <v>542.31999999999971</v>
      </c>
      <c r="D65" s="11">
        <v>0</v>
      </c>
      <c r="E65" s="10">
        <v>0</v>
      </c>
      <c r="F65" s="12">
        <f t="shared" si="19"/>
        <v>0</v>
      </c>
      <c r="G65" s="10">
        <f t="shared" si="23"/>
        <v>542.31999999999971</v>
      </c>
      <c r="H65" s="13">
        <v>542.32000000000005</v>
      </c>
      <c r="I65" s="14">
        <v>0</v>
      </c>
      <c r="J65" s="14">
        <v>0</v>
      </c>
      <c r="K65" s="14">
        <f t="shared" si="20"/>
        <v>542.32000000000005</v>
      </c>
      <c r="L65" s="15">
        <f t="shared" si="21"/>
        <v>0</v>
      </c>
      <c r="M65" s="155">
        <f t="shared" si="18"/>
        <v>0</v>
      </c>
    </row>
    <row r="66" spans="1:16" x14ac:dyDescent="0.2">
      <c r="A66" s="139" t="s">
        <v>29</v>
      </c>
      <c r="B66" s="10">
        <f>+C66</f>
        <v>489577.01999999862</v>
      </c>
      <c r="C66" s="10">
        <f>25804148.7-21535015.98-3779555.7</f>
        <v>489577.01999999862</v>
      </c>
      <c r="D66" s="45"/>
      <c r="E66" s="10">
        <v>0</v>
      </c>
      <c r="F66" s="12">
        <f t="shared" si="19"/>
        <v>0</v>
      </c>
      <c r="G66" s="10">
        <f>+C66+D66-E66</f>
        <v>489577.01999999862</v>
      </c>
      <c r="H66" s="13">
        <f>2255525.44-1688966.46</f>
        <v>566558.98</v>
      </c>
      <c r="I66" s="14">
        <v>122706.07</v>
      </c>
      <c r="J66" s="14">
        <f>20016.25+99956.62+61086.68+18628.48</f>
        <v>199688.03</v>
      </c>
      <c r="K66" s="14">
        <f>H66+I66-J66</f>
        <v>489577.02</v>
      </c>
      <c r="L66" s="15">
        <f t="shared" si="21"/>
        <v>0</v>
      </c>
      <c r="M66" s="62">
        <f t="shared" si="18"/>
        <v>1.3969838619232178E-9</v>
      </c>
      <c r="N66" s="272"/>
    </row>
    <row r="67" spans="1:16" x14ac:dyDescent="0.2">
      <c r="A67" s="139" t="s">
        <v>30</v>
      </c>
      <c r="B67" s="10">
        <f t="shared" si="22"/>
        <v>193749.02000000025</v>
      </c>
      <c r="C67" s="10">
        <f>19272341-17976826.68-1101765.3</f>
        <v>193749.02000000025</v>
      </c>
      <c r="D67" s="10">
        <v>4227.0200000000004</v>
      </c>
      <c r="E67" s="10">
        <v>0</v>
      </c>
      <c r="F67" s="12">
        <f t="shared" si="19"/>
        <v>0</v>
      </c>
      <c r="G67" s="10">
        <f>+C67+D67-E67</f>
        <v>197976.04000000024</v>
      </c>
      <c r="H67" s="13">
        <v>171700.75</v>
      </c>
      <c r="I67" s="14">
        <v>296402</v>
      </c>
      <c r="J67" s="14">
        <f>26299+244312.48</f>
        <v>270611.48</v>
      </c>
      <c r="K67" s="14">
        <f>H67+I67-J67</f>
        <v>197491.27000000002</v>
      </c>
      <c r="L67" s="15">
        <f t="shared" si="21"/>
        <v>0</v>
      </c>
      <c r="M67" s="155">
        <f>+K67-G67</f>
        <v>-484.77000000022235</v>
      </c>
      <c r="N67" s="273"/>
    </row>
    <row r="68" spans="1:16" s="5" customFormat="1" x14ac:dyDescent="0.2">
      <c r="A68" s="20" t="s">
        <v>33</v>
      </c>
      <c r="B68" s="21">
        <f>SUM(B57:B67)</f>
        <v>1685870.649999999</v>
      </c>
      <c r="C68" s="21">
        <f>SUM(C57:C67)</f>
        <v>2492331.6499999994</v>
      </c>
      <c r="D68" s="21">
        <f>SUM(D57:D67)</f>
        <v>4457.42</v>
      </c>
      <c r="E68" s="21">
        <f>SUM(E57:E67)</f>
        <v>2038.23</v>
      </c>
      <c r="F68" s="22">
        <f>+E68/C68</f>
        <v>8.178004721000917E-4</v>
      </c>
      <c r="G68" s="21">
        <f>SUM(G57:G67)</f>
        <v>2494750.8399999989</v>
      </c>
      <c r="H68" s="21">
        <f>SUM(H57:H67)</f>
        <v>2967054.7</v>
      </c>
      <c r="I68" s="21">
        <f>SUM(I57:I67)</f>
        <v>1070779.75</v>
      </c>
      <c r="J68" s="21">
        <f>SUM(J57:J67)</f>
        <v>1543568.3800000001</v>
      </c>
      <c r="K68" s="21">
        <f>SUM(K57:K67)</f>
        <v>2494266.0700000003</v>
      </c>
      <c r="L68" s="23"/>
      <c r="M68" s="62">
        <f t="shared" ref="M68:M84" si="24">+K68-G68</f>
        <v>-484.76999999862164</v>
      </c>
      <c r="N68" s="203"/>
      <c r="O68" s="143"/>
      <c r="P68" s="143"/>
    </row>
    <row r="69" spans="1:16" x14ac:dyDescent="0.2">
      <c r="A69" s="139" t="s">
        <v>34</v>
      </c>
      <c r="B69" s="10">
        <v>0</v>
      </c>
      <c r="C69" s="10">
        <v>256006.06</v>
      </c>
      <c r="D69" s="13">
        <v>440.75</v>
      </c>
      <c r="E69" s="10">
        <v>0</v>
      </c>
      <c r="F69" s="12">
        <v>0</v>
      </c>
      <c r="G69" s="10">
        <f>+C69+D69-E69</f>
        <v>256446.81</v>
      </c>
      <c r="H69" s="10">
        <v>238695.02</v>
      </c>
      <c r="I69" s="10">
        <v>30099.8</v>
      </c>
      <c r="J69" s="10">
        <v>12348.01</v>
      </c>
      <c r="K69" s="10">
        <f t="shared" si="20"/>
        <v>256446.81</v>
      </c>
      <c r="L69" s="15"/>
      <c r="M69" s="62">
        <f t="shared" si="24"/>
        <v>0</v>
      </c>
    </row>
    <row r="70" spans="1:16" x14ac:dyDescent="0.2">
      <c r="A70" s="20" t="s">
        <v>35</v>
      </c>
      <c r="B70" s="25">
        <f t="shared" ref="B70:K70" si="25">SUM(B69:B69)</f>
        <v>0</v>
      </c>
      <c r="C70" s="25">
        <f t="shared" si="25"/>
        <v>256006.06</v>
      </c>
      <c r="D70" s="25">
        <f t="shared" si="25"/>
        <v>440.75</v>
      </c>
      <c r="E70" s="25">
        <f t="shared" si="25"/>
        <v>0</v>
      </c>
      <c r="F70" s="25">
        <f t="shared" si="25"/>
        <v>0</v>
      </c>
      <c r="G70" s="25">
        <f t="shared" si="25"/>
        <v>256446.81</v>
      </c>
      <c r="H70" s="25">
        <f t="shared" si="25"/>
        <v>238695.02</v>
      </c>
      <c r="I70" s="25">
        <f t="shared" si="25"/>
        <v>30099.8</v>
      </c>
      <c r="J70" s="25">
        <f t="shared" si="25"/>
        <v>12348.01</v>
      </c>
      <c r="K70" s="25">
        <f t="shared" si="25"/>
        <v>256446.81</v>
      </c>
      <c r="L70" s="27"/>
      <c r="M70" s="62">
        <f t="shared" si="24"/>
        <v>0</v>
      </c>
    </row>
    <row r="71" spans="1:16" x14ac:dyDescent="0.2">
      <c r="A71" s="13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0.47</v>
      </c>
      <c r="H71" s="10">
        <v>0.47</v>
      </c>
      <c r="I71" s="10">
        <v>0</v>
      </c>
      <c r="J71" s="10">
        <v>0</v>
      </c>
      <c r="K71" s="10">
        <f t="shared" si="20"/>
        <v>0.47</v>
      </c>
      <c r="L71" s="15"/>
      <c r="M71" s="62">
        <f t="shared" si="24"/>
        <v>0</v>
      </c>
    </row>
    <row r="72" spans="1:16" x14ac:dyDescent="0.2">
      <c r="A72" s="139" t="s">
        <v>29</v>
      </c>
      <c r="B72" s="10">
        <v>0</v>
      </c>
      <c r="C72" s="10">
        <v>0</v>
      </c>
      <c r="D72" s="10">
        <v>0</v>
      </c>
      <c r="E72" s="10">
        <v>0</v>
      </c>
      <c r="F72" s="12">
        <v>0</v>
      </c>
      <c r="G72" s="10">
        <v>17.399999999999999</v>
      </c>
      <c r="H72" s="10">
        <v>17.399999999999999</v>
      </c>
      <c r="I72" s="10"/>
      <c r="J72" s="10">
        <v>0</v>
      </c>
      <c r="K72" s="10">
        <f t="shared" si="20"/>
        <v>17.399999999999999</v>
      </c>
      <c r="L72" s="15"/>
      <c r="M72" s="62">
        <f t="shared" si="24"/>
        <v>0</v>
      </c>
    </row>
    <row r="73" spans="1:16" x14ac:dyDescent="0.2">
      <c r="A73" s="20" t="s">
        <v>37</v>
      </c>
      <c r="B73" s="25">
        <f t="shared" ref="B73:K73" si="26">SUM(B71:B72)</f>
        <v>0</v>
      </c>
      <c r="C73" s="25">
        <f t="shared" si="26"/>
        <v>0</v>
      </c>
      <c r="D73" s="25">
        <f t="shared" si="26"/>
        <v>0</v>
      </c>
      <c r="E73" s="25">
        <f t="shared" si="26"/>
        <v>0</v>
      </c>
      <c r="F73" s="25">
        <f t="shared" si="26"/>
        <v>0</v>
      </c>
      <c r="G73" s="25">
        <f t="shared" si="26"/>
        <v>17.869999999999997</v>
      </c>
      <c r="H73" s="25">
        <f t="shared" si="26"/>
        <v>17.869999999999997</v>
      </c>
      <c r="I73" s="25">
        <f t="shared" si="26"/>
        <v>0</v>
      </c>
      <c r="J73" s="25">
        <f t="shared" si="26"/>
        <v>0</v>
      </c>
      <c r="K73" s="25">
        <f t="shared" si="26"/>
        <v>17.869999999999997</v>
      </c>
      <c r="L73" s="27"/>
      <c r="M73" s="62">
        <f>+K73-G73</f>
        <v>0</v>
      </c>
    </row>
    <row r="74" spans="1:16" x14ac:dyDescent="0.2">
      <c r="A74" s="139" t="s">
        <v>18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1392</v>
      </c>
      <c r="H74" s="10">
        <v>1392</v>
      </c>
      <c r="I74" s="10">
        <v>0</v>
      </c>
      <c r="J74" s="10">
        <v>0</v>
      </c>
      <c r="K74" s="10">
        <f t="shared" si="20"/>
        <v>1392</v>
      </c>
      <c r="L74" s="15"/>
      <c r="M74" s="62">
        <f t="shared" si="24"/>
        <v>0</v>
      </c>
    </row>
    <row r="75" spans="1:16" x14ac:dyDescent="0.2">
      <c r="A75" s="139" t="s">
        <v>20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382.8</v>
      </c>
      <c r="H75" s="10">
        <v>382.8</v>
      </c>
      <c r="I75" s="10">
        <v>0</v>
      </c>
      <c r="J75" s="10">
        <v>0</v>
      </c>
      <c r="K75" s="10">
        <f t="shared" si="20"/>
        <v>382.8</v>
      </c>
      <c r="L75" s="15"/>
      <c r="M75" s="62">
        <f t="shared" si="24"/>
        <v>0</v>
      </c>
    </row>
    <row r="76" spans="1:16" x14ac:dyDescent="0.2">
      <c r="A76" s="139" t="s">
        <v>29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242057.67</v>
      </c>
      <c r="H76" s="10">
        <v>242057.67</v>
      </c>
      <c r="I76" s="10">
        <v>0</v>
      </c>
      <c r="J76" s="10">
        <v>0</v>
      </c>
      <c r="K76" s="10">
        <f t="shared" si="20"/>
        <v>242057.67</v>
      </c>
      <c r="L76" s="15"/>
      <c r="M76" s="62">
        <f t="shared" si="24"/>
        <v>0</v>
      </c>
    </row>
    <row r="77" spans="1:16" x14ac:dyDescent="0.2">
      <c r="A77" s="20" t="s">
        <v>38</v>
      </c>
      <c r="B77" s="25">
        <f t="shared" ref="B77:K77" si="27">SUM(B74:B76)</f>
        <v>0</v>
      </c>
      <c r="C77" s="25">
        <f t="shared" si="27"/>
        <v>0</v>
      </c>
      <c r="D77" s="25">
        <f t="shared" si="27"/>
        <v>0</v>
      </c>
      <c r="E77" s="25">
        <f t="shared" si="27"/>
        <v>0</v>
      </c>
      <c r="F77" s="25">
        <f t="shared" si="27"/>
        <v>0</v>
      </c>
      <c r="G77" s="25">
        <f t="shared" si="27"/>
        <v>243832.47</v>
      </c>
      <c r="H77" s="25">
        <f t="shared" si="27"/>
        <v>243832.47</v>
      </c>
      <c r="I77" s="25">
        <f t="shared" si="27"/>
        <v>0</v>
      </c>
      <c r="J77" s="25">
        <f t="shared" si="27"/>
        <v>0</v>
      </c>
      <c r="K77" s="25">
        <f t="shared" si="27"/>
        <v>243832.47</v>
      </c>
      <c r="L77" s="27"/>
      <c r="M77" s="62">
        <f t="shared" si="24"/>
        <v>0</v>
      </c>
    </row>
    <row r="78" spans="1:16" x14ac:dyDescent="0.2">
      <c r="A78" s="139" t="s">
        <v>36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-10</v>
      </c>
      <c r="H78" s="10">
        <v>-10</v>
      </c>
      <c r="I78" s="10">
        <v>0</v>
      </c>
      <c r="J78" s="10">
        <v>0</v>
      </c>
      <c r="K78" s="10">
        <f t="shared" si="20"/>
        <v>-10</v>
      </c>
      <c r="L78" s="15"/>
      <c r="M78" s="62">
        <f t="shared" si="24"/>
        <v>0</v>
      </c>
    </row>
    <row r="79" spans="1:16" x14ac:dyDescent="0.2">
      <c r="A79" s="139" t="s">
        <v>20</v>
      </c>
      <c r="B79" s="10">
        <v>0</v>
      </c>
      <c r="C79" s="10">
        <v>0</v>
      </c>
      <c r="D79" s="10"/>
      <c r="E79" s="10">
        <v>0</v>
      </c>
      <c r="F79" s="12">
        <v>0</v>
      </c>
      <c r="G79" s="10">
        <v>219.47</v>
      </c>
      <c r="H79" s="10">
        <v>219.47</v>
      </c>
      <c r="I79" s="10">
        <v>0</v>
      </c>
      <c r="J79" s="10">
        <v>0</v>
      </c>
      <c r="K79" s="10">
        <f t="shared" si="20"/>
        <v>219.47</v>
      </c>
      <c r="L79" s="15"/>
      <c r="M79" s="62">
        <f t="shared" si="24"/>
        <v>0</v>
      </c>
    </row>
    <row r="80" spans="1:16" x14ac:dyDescent="0.2">
      <c r="A80" s="139" t="s">
        <v>24</v>
      </c>
      <c r="B80" s="10">
        <v>0</v>
      </c>
      <c r="C80" s="10">
        <v>0</v>
      </c>
      <c r="D80" s="10"/>
      <c r="E80" s="10">
        <v>0</v>
      </c>
      <c r="F80" s="12">
        <v>0</v>
      </c>
      <c r="G80" s="10">
        <v>1150.8900000000001</v>
      </c>
      <c r="H80" s="10">
        <v>42631.81</v>
      </c>
      <c r="I80" s="10">
        <v>412765.08</v>
      </c>
      <c r="J80" s="10">
        <v>454246</v>
      </c>
      <c r="K80" s="10">
        <f t="shared" si="20"/>
        <v>1150.890000000014</v>
      </c>
      <c r="L80" s="15"/>
      <c r="M80" s="62">
        <f t="shared" si="24"/>
        <v>1.3869794202037156E-11</v>
      </c>
    </row>
    <row r="81" spans="1:13" x14ac:dyDescent="0.2">
      <c r="A81" s="139" t="s">
        <v>25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719.87</v>
      </c>
      <c r="H81" s="10">
        <v>719.87</v>
      </c>
      <c r="I81" s="10">
        <v>0</v>
      </c>
      <c r="J81" s="10">
        <v>0</v>
      </c>
      <c r="K81" s="10">
        <f t="shared" si="20"/>
        <v>719.87</v>
      </c>
      <c r="L81" s="15"/>
      <c r="M81" s="62">
        <f t="shared" si="24"/>
        <v>0</v>
      </c>
    </row>
    <row r="82" spans="1:13" x14ac:dyDescent="0.2">
      <c r="A82" s="139" t="s">
        <v>27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267528.84000000003</v>
      </c>
      <c r="H82" s="10">
        <v>0</v>
      </c>
      <c r="I82" s="10">
        <v>267528.84000000003</v>
      </c>
      <c r="J82" s="10">
        <v>0</v>
      </c>
      <c r="K82" s="10">
        <f t="shared" si="20"/>
        <v>267528.84000000003</v>
      </c>
      <c r="L82" s="15"/>
      <c r="M82" s="62">
        <f t="shared" si="24"/>
        <v>0</v>
      </c>
    </row>
    <row r="83" spans="1:13" x14ac:dyDescent="0.2">
      <c r="A83" s="139" t="s">
        <v>29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236767.4</v>
      </c>
      <c r="H83" s="10">
        <v>243581.68</v>
      </c>
      <c r="I83" s="10">
        <v>0</v>
      </c>
      <c r="J83" s="10">
        <f>2827.74+3986.54</f>
        <v>6814.28</v>
      </c>
      <c r="K83" s="10">
        <f t="shared" si="20"/>
        <v>236767.4</v>
      </c>
      <c r="L83" s="15"/>
      <c r="M83" s="62">
        <f t="shared" si="24"/>
        <v>0</v>
      </c>
    </row>
    <row r="84" spans="1:13" x14ac:dyDescent="0.2">
      <c r="A84" s="20" t="s">
        <v>39</v>
      </c>
      <c r="B84" s="25">
        <f t="shared" ref="B84:K84" si="28">SUM(B78:B83)</f>
        <v>0</v>
      </c>
      <c r="C84" s="25">
        <f t="shared" si="28"/>
        <v>0</v>
      </c>
      <c r="D84" s="25">
        <f t="shared" si="28"/>
        <v>0</v>
      </c>
      <c r="E84" s="25">
        <f t="shared" si="28"/>
        <v>0</v>
      </c>
      <c r="F84" s="25">
        <f t="shared" si="28"/>
        <v>0</v>
      </c>
      <c r="G84" s="25">
        <f t="shared" si="28"/>
        <v>506376.47</v>
      </c>
      <c r="H84" s="25">
        <f t="shared" si="28"/>
        <v>287142.83</v>
      </c>
      <c r="I84" s="25">
        <f t="shared" si="28"/>
        <v>680293.92</v>
      </c>
      <c r="J84" s="25">
        <f t="shared" si="28"/>
        <v>461060.28</v>
      </c>
      <c r="K84" s="25">
        <f t="shared" si="28"/>
        <v>506376.47000000009</v>
      </c>
      <c r="L84" s="27"/>
      <c r="M84" s="62">
        <f t="shared" si="24"/>
        <v>0</v>
      </c>
    </row>
    <row r="85" spans="1:13" x14ac:dyDescent="0.25">
      <c r="A85" s="20" t="s">
        <v>44</v>
      </c>
      <c r="B85" s="25">
        <f t="shared" ref="B85:K85" si="29">+B56+B68+B70+B73+B77+B84</f>
        <v>104936112.92999999</v>
      </c>
      <c r="C85" s="25">
        <f t="shared" si="29"/>
        <v>31581441.700000003</v>
      </c>
      <c r="D85" s="25">
        <f t="shared" si="29"/>
        <v>191349.32</v>
      </c>
      <c r="E85" s="25">
        <f t="shared" si="29"/>
        <v>27923468.280000001</v>
      </c>
      <c r="F85" s="25">
        <f t="shared" si="29"/>
        <v>5.1248144041110253</v>
      </c>
      <c r="G85" s="25">
        <f t="shared" si="29"/>
        <v>4599549.5500000007</v>
      </c>
      <c r="H85" s="25">
        <f t="shared" si="29"/>
        <v>5442768.7199999997</v>
      </c>
      <c r="I85" s="25">
        <f t="shared" si="29"/>
        <v>2802781.26</v>
      </c>
      <c r="J85" s="25">
        <f t="shared" si="29"/>
        <v>3646485.2</v>
      </c>
      <c r="K85" s="25">
        <f t="shared" si="29"/>
        <v>4599064.78</v>
      </c>
      <c r="L85" s="27"/>
    </row>
    <row r="86" spans="1:13" x14ac:dyDescent="0.25">
      <c r="A86" s="28"/>
      <c r="B86" s="29"/>
      <c r="C86" s="29"/>
      <c r="D86" s="29"/>
      <c r="E86" s="28"/>
      <c r="F86" s="28"/>
      <c r="G86" s="28"/>
      <c r="H86" s="28"/>
      <c r="I86" s="28"/>
      <c r="J86" s="28"/>
      <c r="K86" s="28"/>
      <c r="L86" s="30"/>
    </row>
    <row r="87" spans="1:13" x14ac:dyDescent="0.25">
      <c r="A87" s="140"/>
      <c r="B87" s="19"/>
      <c r="C87" s="333" t="s">
        <v>45</v>
      </c>
      <c r="D87" s="333"/>
      <c r="E87" s="333"/>
      <c r="F87" s="333"/>
      <c r="G87" s="333"/>
      <c r="H87" s="333"/>
      <c r="I87" s="333"/>
      <c r="J87" s="19"/>
      <c r="K87" s="19"/>
      <c r="L87" s="19"/>
    </row>
    <row r="88" spans="1:13" x14ac:dyDescent="0.25">
      <c r="A88" s="140"/>
      <c r="B88" s="19"/>
      <c r="C88" s="287"/>
      <c r="D88" s="287"/>
      <c r="E88" s="287"/>
      <c r="F88" s="287"/>
      <c r="G88" s="287"/>
      <c r="H88" s="287"/>
      <c r="I88" s="287"/>
      <c r="J88" s="19"/>
      <c r="K88" s="19"/>
      <c r="L88" s="19"/>
    </row>
    <row r="89" spans="1:13" x14ac:dyDescent="0.25">
      <c r="A89" s="140"/>
      <c r="B89" s="325" t="s">
        <v>46</v>
      </c>
      <c r="C89" s="325"/>
      <c r="D89" s="326" t="s">
        <v>47</v>
      </c>
      <c r="E89" s="327"/>
      <c r="F89" s="328"/>
      <c r="G89" s="320" t="s">
        <v>48</v>
      </c>
      <c r="H89" s="320"/>
      <c r="I89" s="285" t="s">
        <v>10</v>
      </c>
      <c r="J89" s="19"/>
      <c r="K89" s="19"/>
      <c r="L89" s="19"/>
    </row>
    <row r="90" spans="1:13" x14ac:dyDescent="0.25">
      <c r="A90" s="140"/>
      <c r="B90" s="329" t="s">
        <v>49</v>
      </c>
      <c r="C90" s="329"/>
      <c r="D90" s="330">
        <v>9000000</v>
      </c>
      <c r="E90" s="331"/>
      <c r="F90" s="332">
        <v>0</v>
      </c>
      <c r="G90" s="330">
        <v>0</v>
      </c>
      <c r="H90" s="332"/>
      <c r="I90" s="33">
        <f>G90/D90</f>
        <v>0</v>
      </c>
      <c r="J90" s="19"/>
      <c r="K90" s="19"/>
      <c r="L90" s="19"/>
    </row>
    <row r="91" spans="1:13" x14ac:dyDescent="0.25">
      <c r="A91" s="140"/>
      <c r="B91" s="320"/>
      <c r="C91" s="320"/>
      <c r="D91" s="321"/>
      <c r="E91" s="322"/>
      <c r="F91" s="323"/>
      <c r="G91" s="324"/>
      <c r="H91" s="324"/>
      <c r="I91" s="286"/>
      <c r="J91" s="19"/>
      <c r="K91" s="19"/>
      <c r="L91" s="19"/>
    </row>
    <row r="92" spans="1:13" x14ac:dyDescent="0.25">
      <c r="A92" s="140"/>
      <c r="B92" s="320"/>
      <c r="C92" s="320"/>
      <c r="D92" s="321"/>
      <c r="E92" s="322"/>
      <c r="F92" s="323"/>
      <c r="G92" s="324"/>
      <c r="H92" s="324"/>
      <c r="I92" s="286"/>
      <c r="J92" s="19"/>
      <c r="K92" s="19"/>
      <c r="L92" s="19"/>
    </row>
    <row r="93" spans="1:13" x14ac:dyDescent="0.25">
      <c r="A93" s="140"/>
      <c r="B93" s="320"/>
      <c r="C93" s="320"/>
      <c r="D93" s="321"/>
      <c r="E93" s="322"/>
      <c r="F93" s="323"/>
      <c r="G93" s="324"/>
      <c r="H93" s="324"/>
      <c r="I93" s="286"/>
      <c r="J93" s="19"/>
      <c r="K93" s="19"/>
      <c r="L93" s="19"/>
    </row>
    <row r="94" spans="1:13" x14ac:dyDescent="0.25">
      <c r="A94" s="35" t="s">
        <v>50</v>
      </c>
      <c r="B94" s="36"/>
      <c r="C94" s="36"/>
      <c r="D94" s="36"/>
      <c r="E94" s="36"/>
      <c r="F94" s="36"/>
      <c r="G94" s="37"/>
      <c r="H94" s="37"/>
      <c r="I94" s="38"/>
      <c r="J94" s="19"/>
      <c r="K94" s="19"/>
      <c r="L94" s="19"/>
    </row>
    <row r="96" spans="1:13" x14ac:dyDescent="0.25">
      <c r="C96" s="342" t="s">
        <v>125</v>
      </c>
      <c r="D96" s="342"/>
      <c r="I96" s="342" t="s">
        <v>128</v>
      </c>
      <c r="J96" s="342"/>
    </row>
    <row r="99" spans="3:10" x14ac:dyDescent="0.25">
      <c r="C99" s="342" t="s">
        <v>126</v>
      </c>
      <c r="D99" s="342"/>
      <c r="I99" s="342" t="s">
        <v>129</v>
      </c>
      <c r="J99" s="342"/>
    </row>
    <row r="100" spans="3:10" x14ac:dyDescent="0.25">
      <c r="C100" s="342" t="s">
        <v>127</v>
      </c>
      <c r="D100" s="342"/>
      <c r="I100" s="342" t="s">
        <v>130</v>
      </c>
      <c r="J100" s="342"/>
    </row>
  </sheetData>
  <mergeCells count="39">
    <mergeCell ref="A1:L1"/>
    <mergeCell ref="A3:L3"/>
    <mergeCell ref="A6:L6"/>
    <mergeCell ref="A7:L7"/>
    <mergeCell ref="C8:G8"/>
    <mergeCell ref="H8:K8"/>
    <mergeCell ref="A9:A10"/>
    <mergeCell ref="B9:B10"/>
    <mergeCell ref="C9:C10"/>
    <mergeCell ref="D9:D10"/>
    <mergeCell ref="E9:E10"/>
    <mergeCell ref="J9:J10"/>
    <mergeCell ref="K9:K10"/>
    <mergeCell ref="B89:C89"/>
    <mergeCell ref="D89:F89"/>
    <mergeCell ref="G89:H89"/>
    <mergeCell ref="C87:I87"/>
    <mergeCell ref="F9:F10"/>
    <mergeCell ref="G9:G10"/>
    <mergeCell ref="H9:H10"/>
    <mergeCell ref="I9:I10"/>
    <mergeCell ref="B90:C90"/>
    <mergeCell ref="D90:F90"/>
    <mergeCell ref="G90:H90"/>
    <mergeCell ref="B91:C91"/>
    <mergeCell ref="D91:F91"/>
    <mergeCell ref="G91:H91"/>
    <mergeCell ref="B92:C92"/>
    <mergeCell ref="D92:F92"/>
    <mergeCell ref="G92:H92"/>
    <mergeCell ref="C100:D100"/>
    <mergeCell ref="I100:J100"/>
    <mergeCell ref="B93:C93"/>
    <mergeCell ref="D93:F93"/>
    <mergeCell ref="G93:H93"/>
    <mergeCell ref="C96:D96"/>
    <mergeCell ref="I96:J96"/>
    <mergeCell ref="C99:D99"/>
    <mergeCell ref="I99:J99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opLeftCell="A3" zoomScale="120" zoomScaleNormal="120" workbookViewId="0">
      <selection activeCell="B26" sqref="B26"/>
    </sheetView>
  </sheetViews>
  <sheetFormatPr baseColWidth="10" defaultColWidth="16.5703125" defaultRowHeight="12.75" x14ac:dyDescent="0.2"/>
  <cols>
    <col min="1" max="1" width="16.5703125" style="1" customWidth="1"/>
    <col min="2" max="5" width="12.7109375" style="1" customWidth="1"/>
    <col min="6" max="6" width="6.5703125" style="1" bestFit="1" customWidth="1"/>
    <col min="7" max="11" width="12.7109375" style="1" customWidth="1"/>
    <col min="12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4" ht="15.75" x14ac:dyDescent="0.25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5.75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ht="15.7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ht="15.75" x14ac:dyDescent="0.25">
      <c r="A5" s="3" t="s">
        <v>2</v>
      </c>
      <c r="B5" s="5"/>
      <c r="C5" s="5"/>
      <c r="D5" s="5"/>
      <c r="E5" s="6"/>
      <c r="F5" s="6"/>
      <c r="G5" s="6"/>
    </row>
    <row r="6" spans="1:14" ht="13.5" x14ac:dyDescent="0.25">
      <c r="C6" s="335" t="s">
        <v>3</v>
      </c>
      <c r="D6" s="335"/>
      <c r="E6" s="336"/>
      <c r="F6" s="336"/>
      <c r="G6" s="336"/>
      <c r="H6" s="335" t="s">
        <v>4</v>
      </c>
      <c r="I6" s="335"/>
      <c r="J6" s="335"/>
      <c r="K6" s="335"/>
    </row>
    <row r="7" spans="1:14" ht="13.5" x14ac:dyDescent="0.25">
      <c r="A7" s="337" t="s">
        <v>5</v>
      </c>
      <c r="B7" s="339" t="s">
        <v>6</v>
      </c>
      <c r="C7" s="339" t="s">
        <v>7</v>
      </c>
      <c r="D7" s="339" t="s">
        <v>8</v>
      </c>
      <c r="E7" s="340" t="s">
        <v>9</v>
      </c>
      <c r="F7" s="340" t="s">
        <v>10</v>
      </c>
      <c r="G7" s="337" t="s">
        <v>11</v>
      </c>
      <c r="H7" s="340" t="s">
        <v>12</v>
      </c>
      <c r="I7" s="340" t="s">
        <v>13</v>
      </c>
      <c r="J7" s="340" t="s">
        <v>14</v>
      </c>
      <c r="K7" s="340" t="s">
        <v>15</v>
      </c>
      <c r="L7" s="7" t="s">
        <v>16</v>
      </c>
    </row>
    <row r="8" spans="1:14" ht="13.5" x14ac:dyDescent="0.2">
      <c r="A8" s="338"/>
      <c r="B8" s="339"/>
      <c r="C8" s="339"/>
      <c r="D8" s="339"/>
      <c r="E8" s="340"/>
      <c r="F8" s="340"/>
      <c r="G8" s="338"/>
      <c r="H8" s="340"/>
      <c r="I8" s="340"/>
      <c r="J8" s="340"/>
      <c r="K8" s="340"/>
      <c r="L8" s="8" t="s">
        <v>17</v>
      </c>
    </row>
    <row r="9" spans="1:14" s="17" customFormat="1" ht="13.5" x14ac:dyDescent="0.25">
      <c r="A9" s="9" t="s">
        <v>18</v>
      </c>
      <c r="B9" s="10">
        <v>9497181.3399999999</v>
      </c>
      <c r="C9" s="10">
        <v>8825602.3300000001</v>
      </c>
      <c r="D9" s="11">
        <v>0</v>
      </c>
      <c r="E9" s="10">
        <v>8341137.9900000002</v>
      </c>
      <c r="F9" s="12">
        <f>+E9/C9</f>
        <v>0.9451069375340867</v>
      </c>
      <c r="G9" s="10">
        <f>+C9+D9-E9</f>
        <v>484464.33999999985</v>
      </c>
      <c r="H9" s="13">
        <f>729310.13+202986.8</f>
        <v>932296.92999999993</v>
      </c>
      <c r="I9" s="14">
        <v>0</v>
      </c>
      <c r="J9" s="14">
        <v>13615.48</v>
      </c>
      <c r="K9" s="14">
        <f>H9+I9-J9</f>
        <v>918681.45</v>
      </c>
      <c r="L9" s="15">
        <f>+F9</f>
        <v>0.9451069375340867</v>
      </c>
      <c r="M9" s="16">
        <f>+K9-G9</f>
        <v>434217.1100000001</v>
      </c>
    </row>
    <row r="10" spans="1:14" ht="13.5" x14ac:dyDescent="0.2">
      <c r="A10" s="9" t="s">
        <v>19</v>
      </c>
      <c r="B10" s="10">
        <v>73877</v>
      </c>
      <c r="C10" s="10">
        <v>73877</v>
      </c>
      <c r="D10" s="11">
        <v>0</v>
      </c>
      <c r="E10" s="10">
        <v>73877</v>
      </c>
      <c r="F10" s="12">
        <f t="shared" ref="F10:F23" si="0">+E10/C10</f>
        <v>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f t="shared" ref="L10:L26" si="1">+F10</f>
        <v>1</v>
      </c>
      <c r="M10" s="16">
        <f t="shared" ref="M10:M73" si="2">+K10-G10</f>
        <v>0</v>
      </c>
    </row>
    <row r="11" spans="1:14" ht="13.5" x14ac:dyDescent="0.2">
      <c r="A11" s="9" t="s">
        <v>20</v>
      </c>
      <c r="B11" s="10">
        <v>28462809.77</v>
      </c>
      <c r="C11" s="10">
        <v>28462809.77</v>
      </c>
      <c r="D11" s="11">
        <v>0</v>
      </c>
      <c r="E11" s="10">
        <v>27357486.23</v>
      </c>
      <c r="F11" s="12">
        <f t="shared" si="0"/>
        <v>0.96116604267351646</v>
      </c>
      <c r="G11" s="10">
        <f>+C11+D11-E11</f>
        <v>1105323.5399999991</v>
      </c>
      <c r="H11" s="13">
        <f>170500+1827605.1</f>
        <v>1998105.1</v>
      </c>
      <c r="I11" s="14">
        <v>0</v>
      </c>
      <c r="J11" s="14">
        <f>854134.16+162187.53+719.87</f>
        <v>1017041.56</v>
      </c>
      <c r="K11" s="14">
        <f t="shared" ref="K11:K74" si="3">H11+I11-J11</f>
        <v>981063.54</v>
      </c>
      <c r="L11" s="15">
        <f t="shared" si="1"/>
        <v>0.96116604267351646</v>
      </c>
      <c r="M11" s="16">
        <f t="shared" si="2"/>
        <v>-124259.99999999907</v>
      </c>
      <c r="N11" s="18"/>
    </row>
    <row r="12" spans="1:14" ht="13.5" x14ac:dyDescent="0.2">
      <c r="A12" s="9" t="s">
        <v>21</v>
      </c>
      <c r="B12" s="10">
        <v>266576.99</v>
      </c>
      <c r="C12" s="10">
        <v>266576.99</v>
      </c>
      <c r="D12" s="11">
        <v>0</v>
      </c>
      <c r="E12" s="10">
        <v>80893</v>
      </c>
      <c r="F12" s="12">
        <f t="shared" si="0"/>
        <v>0.30345079670979858</v>
      </c>
      <c r="G12" s="10">
        <f>+C12+D12-E12</f>
        <v>185683.99</v>
      </c>
      <c r="H12" s="13">
        <v>185683.99</v>
      </c>
      <c r="I12" s="14">
        <v>0</v>
      </c>
      <c r="J12" s="14">
        <v>0</v>
      </c>
      <c r="K12" s="14">
        <f t="shared" si="3"/>
        <v>185683.99</v>
      </c>
      <c r="L12" s="15">
        <f t="shared" si="1"/>
        <v>0.30345079670979858</v>
      </c>
      <c r="M12" s="16">
        <f t="shared" si="2"/>
        <v>0</v>
      </c>
    </row>
    <row r="13" spans="1:14" ht="13.5" x14ac:dyDescent="0.2">
      <c r="A13" s="9" t="s">
        <v>22</v>
      </c>
      <c r="B13" s="10">
        <v>757786.85</v>
      </c>
      <c r="C13" s="10">
        <v>757786.85</v>
      </c>
      <c r="D13" s="10">
        <v>149.51</v>
      </c>
      <c r="E13" s="10">
        <v>201977</v>
      </c>
      <c r="F13" s="12">
        <f t="shared" si="0"/>
        <v>0.26653537205086103</v>
      </c>
      <c r="G13" s="10">
        <f t="shared" ref="G13:G21" si="4">+C13+D13-E13</f>
        <v>555959.36</v>
      </c>
      <c r="H13" s="13">
        <v>555959.36</v>
      </c>
      <c r="I13" s="14">
        <v>0</v>
      </c>
      <c r="J13" s="14">
        <v>0</v>
      </c>
      <c r="K13" s="14">
        <f t="shared" si="3"/>
        <v>555959.36</v>
      </c>
      <c r="L13" s="15">
        <f t="shared" si="1"/>
        <v>0.26653537205086103</v>
      </c>
      <c r="M13" s="16">
        <f>+K13-G13</f>
        <v>0</v>
      </c>
    </row>
    <row r="14" spans="1:14" ht="13.5" x14ac:dyDescent="0.2">
      <c r="A14" s="9" t="s">
        <v>23</v>
      </c>
      <c r="B14" s="10">
        <v>919872.2</v>
      </c>
      <c r="C14" s="10">
        <v>919872.2</v>
      </c>
      <c r="D14" s="10">
        <v>408.58</v>
      </c>
      <c r="E14" s="10">
        <v>788192.61</v>
      </c>
      <c r="F14" s="12">
        <f t="shared" si="0"/>
        <v>0.85685012548482287</v>
      </c>
      <c r="G14" s="10">
        <f t="shared" si="4"/>
        <v>132088.16999999993</v>
      </c>
      <c r="H14" s="13">
        <v>132088.17000000001</v>
      </c>
      <c r="I14" s="14">
        <v>0</v>
      </c>
      <c r="J14" s="14">
        <v>0</v>
      </c>
      <c r="K14" s="14">
        <f t="shared" si="3"/>
        <v>132088.17000000001</v>
      </c>
      <c r="L14" s="15">
        <f t="shared" si="1"/>
        <v>0.85685012548482287</v>
      </c>
      <c r="M14" s="16">
        <f t="shared" si="2"/>
        <v>0</v>
      </c>
    </row>
    <row r="15" spans="1:14" ht="13.5" x14ac:dyDescent="0.2">
      <c r="A15" s="9" t="s">
        <v>24</v>
      </c>
      <c r="B15" s="10">
        <v>13636634.35</v>
      </c>
      <c r="C15" s="10">
        <v>13636634.35</v>
      </c>
      <c r="D15" s="11">
        <v>0</v>
      </c>
      <c r="E15" s="10">
        <f>13212786.17</f>
        <v>13212786.17</v>
      </c>
      <c r="F15" s="12">
        <f t="shared" si="0"/>
        <v>0.96891841717527616</v>
      </c>
      <c r="G15" s="10">
        <f>+C15+D15-E15</f>
        <v>423848.1799999997</v>
      </c>
      <c r="H15" s="13">
        <v>720934.97</v>
      </c>
      <c r="I15" s="14">
        <v>1120</v>
      </c>
      <c r="J15" s="14">
        <f>287062+8756.79+2388</f>
        <v>298206.78999999998</v>
      </c>
      <c r="K15" s="14">
        <f t="shared" si="3"/>
        <v>423848.18</v>
      </c>
      <c r="L15" s="15">
        <f t="shared" si="1"/>
        <v>0.96891841717527616</v>
      </c>
      <c r="M15" s="16">
        <f t="shared" si="2"/>
        <v>0</v>
      </c>
    </row>
    <row r="16" spans="1:14" ht="13.5" x14ac:dyDescent="0.2">
      <c r="A16" s="9" t="s">
        <v>25</v>
      </c>
      <c r="B16" s="10">
        <v>868753.03</v>
      </c>
      <c r="C16" s="10">
        <v>868753.03</v>
      </c>
      <c r="D16" s="10">
        <v>131.31</v>
      </c>
      <c r="E16" s="10">
        <v>542712.97</v>
      </c>
      <c r="F16" s="12">
        <f t="shared" si="0"/>
        <v>0.624703398156781</v>
      </c>
      <c r="G16" s="10">
        <f t="shared" si="4"/>
        <v>326171.37000000011</v>
      </c>
      <c r="H16" s="13">
        <v>326171.37</v>
      </c>
      <c r="I16" s="14">
        <v>0</v>
      </c>
      <c r="J16" s="14">
        <v>0</v>
      </c>
      <c r="K16" s="14">
        <f t="shared" si="3"/>
        <v>326171.37</v>
      </c>
      <c r="L16" s="15">
        <f t="shared" si="1"/>
        <v>0.624703398156781</v>
      </c>
      <c r="M16" s="16">
        <f t="shared" si="2"/>
        <v>0</v>
      </c>
    </row>
    <row r="17" spans="1:15" ht="13.5" x14ac:dyDescent="0.2">
      <c r="A17" s="9" t="s">
        <v>26</v>
      </c>
      <c r="B17" s="10">
        <v>0</v>
      </c>
      <c r="C17" s="10">
        <v>0</v>
      </c>
      <c r="D17" s="11">
        <v>0</v>
      </c>
      <c r="E17" s="10">
        <v>0</v>
      </c>
      <c r="F17" s="12">
        <v>0</v>
      </c>
      <c r="G17" s="14">
        <f t="shared" si="4"/>
        <v>0</v>
      </c>
      <c r="H17" s="11">
        <v>0</v>
      </c>
      <c r="I17" s="14">
        <v>0</v>
      </c>
      <c r="J17" s="14">
        <v>0</v>
      </c>
      <c r="K17" s="14">
        <f t="shared" si="3"/>
        <v>0</v>
      </c>
      <c r="L17" s="15">
        <f t="shared" si="1"/>
        <v>0</v>
      </c>
      <c r="M17" s="16">
        <f t="shared" si="2"/>
        <v>0</v>
      </c>
    </row>
    <row r="18" spans="1:15" ht="13.5" x14ac:dyDescent="0.2">
      <c r="A18" s="9" t="s">
        <v>27</v>
      </c>
      <c r="B18" s="10">
        <v>0</v>
      </c>
      <c r="C18" s="10">
        <v>0</v>
      </c>
      <c r="D18" s="11">
        <v>0</v>
      </c>
      <c r="E18" s="10">
        <v>0</v>
      </c>
      <c r="F18" s="12">
        <v>0</v>
      </c>
      <c r="G18" s="14">
        <f t="shared" si="4"/>
        <v>0</v>
      </c>
      <c r="H18" s="11">
        <v>0</v>
      </c>
      <c r="I18" s="14">
        <v>0</v>
      </c>
      <c r="J18" s="14">
        <v>0</v>
      </c>
      <c r="K18" s="14">
        <f t="shared" si="3"/>
        <v>0</v>
      </c>
      <c r="L18" s="15">
        <f t="shared" si="1"/>
        <v>0</v>
      </c>
      <c r="M18" s="16">
        <f t="shared" si="2"/>
        <v>0</v>
      </c>
    </row>
    <row r="19" spans="1:15" ht="13.5" x14ac:dyDescent="0.2">
      <c r="A19" s="9" t="s">
        <v>27</v>
      </c>
      <c r="B19" s="10">
        <v>573447.68000000005</v>
      </c>
      <c r="C19" s="10">
        <v>573447.68999999994</v>
      </c>
      <c r="D19" s="11">
        <v>0</v>
      </c>
      <c r="E19" s="10">
        <v>569680.31999999995</v>
      </c>
      <c r="F19" s="12">
        <f t="shared" si="0"/>
        <v>0.99343031619850108</v>
      </c>
      <c r="G19" s="10">
        <f t="shared" si="4"/>
        <v>3767.3699999999953</v>
      </c>
      <c r="H19" s="13">
        <v>3767.37</v>
      </c>
      <c r="I19" s="14">
        <v>0</v>
      </c>
      <c r="J19" s="14">
        <v>0</v>
      </c>
      <c r="K19" s="14">
        <f t="shared" si="3"/>
        <v>3767.37</v>
      </c>
      <c r="L19" s="15">
        <f t="shared" si="1"/>
        <v>0.99343031619850108</v>
      </c>
      <c r="M19" s="16">
        <f t="shared" si="2"/>
        <v>4.5474735088646412E-12</v>
      </c>
    </row>
    <row r="20" spans="1:15" ht="13.5" x14ac:dyDescent="0.2">
      <c r="A20" s="9" t="s">
        <v>28</v>
      </c>
      <c r="B20" s="10">
        <v>36484.65</v>
      </c>
      <c r="C20" s="10">
        <v>36484.65</v>
      </c>
      <c r="D20" s="11">
        <v>0</v>
      </c>
      <c r="E20" s="10">
        <v>0</v>
      </c>
      <c r="F20" s="12">
        <f t="shared" si="0"/>
        <v>0</v>
      </c>
      <c r="G20" s="10">
        <f t="shared" si="4"/>
        <v>36484.65</v>
      </c>
      <c r="H20" s="13">
        <v>36484.65</v>
      </c>
      <c r="I20" s="14">
        <v>0</v>
      </c>
      <c r="J20" s="14">
        <v>0</v>
      </c>
      <c r="K20" s="14">
        <f t="shared" si="3"/>
        <v>36484.65</v>
      </c>
      <c r="L20" s="15">
        <f t="shared" si="1"/>
        <v>0</v>
      </c>
      <c r="M20" s="16">
        <f t="shared" si="2"/>
        <v>0</v>
      </c>
    </row>
    <row r="21" spans="1:15" ht="13.5" x14ac:dyDescent="0.2">
      <c r="A21" s="9" t="s">
        <v>29</v>
      </c>
      <c r="B21" s="10">
        <v>25802087</v>
      </c>
      <c r="C21" s="10">
        <v>25802087</v>
      </c>
      <c r="D21" s="10">
        <f>1948.34+11855.21+17411.8+24901.03+30826.95+1275.36+39471.97+28017.47</f>
        <v>155708.13</v>
      </c>
      <c r="E21" s="10">
        <v>21425995.98</v>
      </c>
      <c r="F21" s="12">
        <f t="shared" si="0"/>
        <v>0.83039778836494893</v>
      </c>
      <c r="G21" s="10">
        <f t="shared" si="4"/>
        <v>4531799.1499999985</v>
      </c>
      <c r="H21" s="13">
        <f>4256662.33+280000</f>
        <v>4536662.33</v>
      </c>
      <c r="I21" s="14">
        <f>152805.87-30099.8</f>
        <v>122706.06999999999</v>
      </c>
      <c r="J21" s="14">
        <f>20016.25+101234.5+88489.25+27754.43</f>
        <v>237494.43</v>
      </c>
      <c r="K21" s="14">
        <f>H21+I21-J21</f>
        <v>4421873.9700000007</v>
      </c>
      <c r="L21" s="15">
        <f t="shared" si="1"/>
        <v>0.83039778836494893</v>
      </c>
      <c r="M21" s="16">
        <f t="shared" si="2"/>
        <v>-109925.17999999784</v>
      </c>
      <c r="N21" s="18"/>
      <c r="O21" s="18"/>
    </row>
    <row r="22" spans="1:15" ht="13.5" x14ac:dyDescent="0.2">
      <c r="A22" s="9" t="s">
        <v>30</v>
      </c>
      <c r="B22" s="10">
        <v>19272341</v>
      </c>
      <c r="C22" s="10">
        <v>19272341</v>
      </c>
      <c r="D22" s="10">
        <v>1040.23</v>
      </c>
      <c r="E22" s="10">
        <v>17963546.48</v>
      </c>
      <c r="F22" s="12">
        <f t="shared" si="0"/>
        <v>0.93208948928415081</v>
      </c>
      <c r="G22" s="10">
        <f>+C22+D22-E22</f>
        <v>1309834.75</v>
      </c>
      <c r="H22" s="13">
        <v>1586271.03</v>
      </c>
      <c r="I22" s="14">
        <v>0</v>
      </c>
      <c r="J22" s="14">
        <f>117121+2320</f>
        <v>119441</v>
      </c>
      <c r="K22" s="14">
        <f>H22+I22-J22</f>
        <v>1466830.03</v>
      </c>
      <c r="L22" s="15">
        <f t="shared" si="1"/>
        <v>0.93208948928415081</v>
      </c>
      <c r="M22" s="16">
        <f>+K22-G22</f>
        <v>156995.28000000003</v>
      </c>
      <c r="N22" s="19"/>
      <c r="O22" s="18"/>
    </row>
    <row r="23" spans="1:15" ht="13.5" x14ac:dyDescent="0.2">
      <c r="A23" s="9" t="s">
        <v>31</v>
      </c>
      <c r="B23" s="10">
        <v>700000</v>
      </c>
      <c r="C23" s="10">
        <v>700000</v>
      </c>
      <c r="D23" s="11">
        <v>0</v>
      </c>
      <c r="E23" s="10">
        <v>700000</v>
      </c>
      <c r="F23" s="12">
        <f t="shared" si="0"/>
        <v>1</v>
      </c>
      <c r="G23" s="11">
        <v>0</v>
      </c>
      <c r="H23" s="13">
        <v>9956.9</v>
      </c>
      <c r="I23" s="14">
        <v>0</v>
      </c>
      <c r="J23" s="14">
        <f>6034.48+3017.24+905.18</f>
        <v>9956.9</v>
      </c>
      <c r="K23" s="14">
        <f t="shared" si="3"/>
        <v>0</v>
      </c>
      <c r="L23" s="15">
        <f t="shared" si="1"/>
        <v>1</v>
      </c>
      <c r="M23" s="16">
        <f t="shared" si="2"/>
        <v>0</v>
      </c>
    </row>
    <row r="24" spans="1:15" ht="13.5" x14ac:dyDescent="0.2">
      <c r="A24" s="9">
        <v>3001</v>
      </c>
      <c r="B24" s="11">
        <v>0</v>
      </c>
      <c r="C24" s="11">
        <v>0</v>
      </c>
      <c r="D24" s="11">
        <v>0</v>
      </c>
      <c r="E24" s="10">
        <v>0</v>
      </c>
      <c r="F24" s="12">
        <v>0</v>
      </c>
      <c r="G24" s="11">
        <v>0</v>
      </c>
      <c r="H24" s="11">
        <v>0</v>
      </c>
      <c r="I24" s="14">
        <v>0</v>
      </c>
      <c r="J24" s="14">
        <v>0</v>
      </c>
      <c r="K24" s="14">
        <f t="shared" si="3"/>
        <v>0</v>
      </c>
      <c r="L24" s="15">
        <f t="shared" si="1"/>
        <v>0</v>
      </c>
      <c r="M24" s="16">
        <f t="shared" si="2"/>
        <v>0</v>
      </c>
    </row>
    <row r="25" spans="1:15" ht="13.5" x14ac:dyDescent="0.2">
      <c r="A25" s="9">
        <v>3002</v>
      </c>
      <c r="B25" s="11">
        <v>0</v>
      </c>
      <c r="C25" s="11">
        <v>0</v>
      </c>
      <c r="D25" s="11">
        <v>0</v>
      </c>
      <c r="E25" s="10">
        <v>0</v>
      </c>
      <c r="F25" s="12">
        <v>0</v>
      </c>
      <c r="G25" s="11">
        <v>0</v>
      </c>
      <c r="H25" s="11">
        <v>0</v>
      </c>
      <c r="I25" s="14">
        <v>0</v>
      </c>
      <c r="J25" s="14">
        <v>0</v>
      </c>
      <c r="K25" s="14">
        <f t="shared" si="3"/>
        <v>0</v>
      </c>
      <c r="L25" s="15">
        <f t="shared" si="1"/>
        <v>0</v>
      </c>
      <c r="M25" s="16">
        <f t="shared" si="2"/>
        <v>0</v>
      </c>
    </row>
    <row r="26" spans="1:15" ht="13.5" x14ac:dyDescent="0.2">
      <c r="A26" s="9" t="s">
        <v>32</v>
      </c>
      <c r="B26" s="10">
        <v>1483500</v>
      </c>
      <c r="C26" s="10">
        <v>1483500</v>
      </c>
      <c r="D26" s="11">
        <v>0</v>
      </c>
      <c r="E26" s="10">
        <v>1483500</v>
      </c>
      <c r="F26" s="12">
        <f>+E26/C26</f>
        <v>1</v>
      </c>
      <c r="G26" s="11">
        <v>0</v>
      </c>
      <c r="H26" s="13">
        <v>21101.51</v>
      </c>
      <c r="I26" s="14">
        <v>0</v>
      </c>
      <c r="J26" s="14">
        <f>12788.79+6394.4+1918.32</f>
        <v>21101.510000000002</v>
      </c>
      <c r="K26" s="14">
        <f t="shared" si="3"/>
        <v>0</v>
      </c>
      <c r="L26" s="15">
        <f t="shared" si="1"/>
        <v>1</v>
      </c>
      <c r="M26" s="16">
        <f t="shared" si="2"/>
        <v>0</v>
      </c>
    </row>
    <row r="27" spans="1:15" s="5" customFormat="1" ht="13.5" x14ac:dyDescent="0.2">
      <c r="A27" s="20" t="s">
        <v>33</v>
      </c>
      <c r="B27" s="21">
        <f>SUM(B9:B26)</f>
        <v>102351351.86000001</v>
      </c>
      <c r="C27" s="21">
        <f t="shared" ref="C27:K27" si="5">SUM(C9:C26)</f>
        <v>101679772.86000001</v>
      </c>
      <c r="D27" s="21">
        <f t="shared" si="5"/>
        <v>157437.76000000001</v>
      </c>
      <c r="E27" s="21">
        <f t="shared" si="5"/>
        <v>92741785.75</v>
      </c>
      <c r="F27" s="22">
        <f>+E27/C27</f>
        <v>0.91209670459918835</v>
      </c>
      <c r="G27" s="21">
        <f t="shared" si="5"/>
        <v>9095424.8699999973</v>
      </c>
      <c r="H27" s="21">
        <f t="shared" si="5"/>
        <v>11045483.680000002</v>
      </c>
      <c r="I27" s="21">
        <f t="shared" si="5"/>
        <v>123826.06999999999</v>
      </c>
      <c r="J27" s="21">
        <f t="shared" si="5"/>
        <v>1716857.67</v>
      </c>
      <c r="K27" s="21">
        <f t="shared" si="5"/>
        <v>9452452.0800000001</v>
      </c>
      <c r="L27" s="23"/>
    </row>
    <row r="28" spans="1:15" ht="13.5" x14ac:dyDescent="0.2">
      <c r="A28" s="9" t="s">
        <v>18</v>
      </c>
      <c r="B28" s="10">
        <v>0</v>
      </c>
      <c r="C28" s="10">
        <v>0</v>
      </c>
      <c r="D28" s="10"/>
      <c r="E28" s="10">
        <v>0</v>
      </c>
      <c r="F28" s="12">
        <v>0</v>
      </c>
      <c r="G28" s="10">
        <v>4283.6000000000004</v>
      </c>
      <c r="H28" s="10">
        <v>32268.68</v>
      </c>
      <c r="I28" s="10">
        <v>0</v>
      </c>
      <c r="J28" s="10">
        <v>27985.08</v>
      </c>
      <c r="K28" s="10">
        <f t="shared" si="3"/>
        <v>4283.5999999999985</v>
      </c>
      <c r="L28" s="15"/>
      <c r="M28" s="16">
        <f t="shared" si="2"/>
        <v>0</v>
      </c>
    </row>
    <row r="29" spans="1:15" ht="13.5" x14ac:dyDescent="0.2">
      <c r="A29" s="9" t="s">
        <v>20</v>
      </c>
      <c r="B29" s="10">
        <v>0</v>
      </c>
      <c r="C29" s="10">
        <v>0</v>
      </c>
      <c r="D29" s="10"/>
      <c r="E29" s="10">
        <v>0</v>
      </c>
      <c r="F29" s="12">
        <v>0</v>
      </c>
      <c r="G29" s="10">
        <v>980.95</v>
      </c>
      <c r="H29" s="10">
        <v>45477.47</v>
      </c>
      <c r="I29" s="10">
        <v>0</v>
      </c>
      <c r="J29" s="10">
        <v>0</v>
      </c>
      <c r="K29" s="10">
        <f t="shared" si="3"/>
        <v>45477.47</v>
      </c>
      <c r="L29" s="15"/>
      <c r="M29" s="16">
        <f t="shared" si="2"/>
        <v>44496.520000000004</v>
      </c>
    </row>
    <row r="30" spans="1:15" ht="13.5" x14ac:dyDescent="0.2">
      <c r="A30" s="9" t="s">
        <v>25</v>
      </c>
      <c r="B30" s="10">
        <v>0</v>
      </c>
      <c r="C30" s="10">
        <v>0</v>
      </c>
      <c r="D30" s="10"/>
      <c r="E30" s="10">
        <v>0</v>
      </c>
      <c r="F30" s="12">
        <v>0</v>
      </c>
      <c r="G30" s="10">
        <v>45082.35</v>
      </c>
      <c r="H30" s="10">
        <v>45082.35</v>
      </c>
      <c r="I30" s="10">
        <v>0</v>
      </c>
      <c r="J30" s="10">
        <v>0</v>
      </c>
      <c r="K30" s="10">
        <f t="shared" si="3"/>
        <v>45082.35</v>
      </c>
      <c r="L30" s="15"/>
      <c r="M30" s="16">
        <f t="shared" si="2"/>
        <v>0</v>
      </c>
    </row>
    <row r="31" spans="1:15" ht="13.5" x14ac:dyDescent="0.2">
      <c r="A31" s="9" t="s">
        <v>26</v>
      </c>
      <c r="B31" s="10">
        <v>0</v>
      </c>
      <c r="C31" s="10">
        <v>0</v>
      </c>
      <c r="D31" s="10"/>
      <c r="E31" s="10">
        <v>0</v>
      </c>
      <c r="F31" s="12">
        <v>0</v>
      </c>
      <c r="G31" s="10">
        <v>220218.16</v>
      </c>
      <c r="H31" s="10">
        <v>20218.16</v>
      </c>
      <c r="I31" s="10">
        <v>200000</v>
      </c>
      <c r="J31" s="10">
        <v>0</v>
      </c>
      <c r="K31" s="10">
        <f t="shared" si="3"/>
        <v>220218.16</v>
      </c>
      <c r="L31" s="15"/>
      <c r="M31" s="16">
        <f t="shared" si="2"/>
        <v>0</v>
      </c>
    </row>
    <row r="32" spans="1:15" ht="13.5" x14ac:dyDescent="0.2">
      <c r="A32" s="9" t="s">
        <v>29</v>
      </c>
      <c r="B32" s="10">
        <v>0</v>
      </c>
      <c r="C32" s="10">
        <v>0</v>
      </c>
      <c r="D32" s="10"/>
      <c r="E32" s="10">
        <v>0</v>
      </c>
      <c r="F32" s="12">
        <v>0</v>
      </c>
      <c r="G32" s="10">
        <v>7046921.4000000004</v>
      </c>
      <c r="H32" s="10">
        <f>66.53+2515998.64</f>
        <v>2516065.17</v>
      </c>
      <c r="I32" s="10">
        <v>0</v>
      </c>
      <c r="J32" s="10">
        <v>23933.48</v>
      </c>
      <c r="K32" s="10">
        <f t="shared" si="3"/>
        <v>2492131.69</v>
      </c>
      <c r="L32" s="15"/>
      <c r="M32" s="16">
        <f t="shared" si="2"/>
        <v>-4554789.7100000009</v>
      </c>
    </row>
    <row r="33" spans="1:13" ht="27" x14ac:dyDescent="0.2">
      <c r="A33" s="9" t="s">
        <v>34</v>
      </c>
      <c r="B33" s="10">
        <v>0</v>
      </c>
      <c r="C33" s="10">
        <v>0</v>
      </c>
      <c r="D33" s="10"/>
      <c r="E33" s="10">
        <v>0</v>
      </c>
      <c r="F33" s="12">
        <v>0</v>
      </c>
      <c r="G33" s="10">
        <v>1325080.67</v>
      </c>
      <c r="H33" s="10">
        <v>237102.37</v>
      </c>
      <c r="I33" s="10">
        <v>30099.8</v>
      </c>
      <c r="J33" s="10">
        <v>118844.56</v>
      </c>
      <c r="K33" s="10">
        <f t="shared" si="3"/>
        <v>148357.60999999999</v>
      </c>
      <c r="L33" s="15"/>
      <c r="M33" s="16">
        <f t="shared" si="2"/>
        <v>-1176723.06</v>
      </c>
    </row>
    <row r="34" spans="1:13" ht="13.5" x14ac:dyDescent="0.2">
      <c r="A34" s="9"/>
      <c r="B34" s="10">
        <v>0</v>
      </c>
      <c r="C34" s="10">
        <v>0</v>
      </c>
      <c r="D34" s="10"/>
      <c r="E34" s="10">
        <v>0</v>
      </c>
      <c r="F34" s="12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3"/>
        <v>0</v>
      </c>
      <c r="L34" s="15"/>
      <c r="M34" s="16">
        <f t="shared" si="2"/>
        <v>0</v>
      </c>
    </row>
    <row r="35" spans="1:13" ht="13.5" x14ac:dyDescent="0.2">
      <c r="A35" s="24" t="s">
        <v>35</v>
      </c>
      <c r="B35" s="25">
        <v>0</v>
      </c>
      <c r="C35" s="25">
        <v>0</v>
      </c>
      <c r="D35" s="25"/>
      <c r="E35" s="25">
        <v>0</v>
      </c>
      <c r="F35" s="26">
        <v>0</v>
      </c>
      <c r="G35" s="25">
        <v>8642567.129999999</v>
      </c>
      <c r="H35" s="25">
        <v>8663489.0099999998</v>
      </c>
      <c r="I35" s="25">
        <v>934578.57000000007</v>
      </c>
      <c r="J35" s="25">
        <v>955500.45</v>
      </c>
      <c r="K35" s="25">
        <f t="shared" si="3"/>
        <v>8642567.1300000008</v>
      </c>
      <c r="L35" s="27"/>
      <c r="M35" s="16">
        <f t="shared" si="2"/>
        <v>0</v>
      </c>
    </row>
    <row r="36" spans="1:13" ht="13.5" x14ac:dyDescent="0.2">
      <c r="A36" s="9" t="s">
        <v>18</v>
      </c>
      <c r="B36" s="10">
        <v>0</v>
      </c>
      <c r="C36" s="10">
        <v>0</v>
      </c>
      <c r="D36" s="10"/>
      <c r="E36" s="10">
        <v>0</v>
      </c>
      <c r="F36" s="12">
        <v>0</v>
      </c>
      <c r="G36" s="10">
        <v>57064.89</v>
      </c>
      <c r="H36" s="10">
        <v>132233.86000000002</v>
      </c>
      <c r="I36" s="10">
        <v>185.03</v>
      </c>
      <c r="J36" s="10">
        <v>75354</v>
      </c>
      <c r="K36" s="10">
        <f t="shared" si="3"/>
        <v>57064.890000000014</v>
      </c>
      <c r="L36" s="15"/>
      <c r="M36" s="16">
        <f t="shared" si="2"/>
        <v>0</v>
      </c>
    </row>
    <row r="37" spans="1:13" ht="13.5" x14ac:dyDescent="0.2">
      <c r="A37" s="9" t="s">
        <v>36</v>
      </c>
      <c r="B37" s="10">
        <v>0</v>
      </c>
      <c r="C37" s="10">
        <v>0</v>
      </c>
      <c r="D37" s="10"/>
      <c r="E37" s="10">
        <v>0</v>
      </c>
      <c r="F37" s="12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3"/>
        <v>0</v>
      </c>
      <c r="L37" s="15"/>
      <c r="M37" s="16">
        <f t="shared" si="2"/>
        <v>0</v>
      </c>
    </row>
    <row r="38" spans="1:13" ht="13.5" x14ac:dyDescent="0.2">
      <c r="A38" s="9" t="s">
        <v>20</v>
      </c>
      <c r="B38" s="10">
        <v>0</v>
      </c>
      <c r="C38" s="10">
        <v>0</v>
      </c>
      <c r="D38" s="10"/>
      <c r="E38" s="10">
        <v>0</v>
      </c>
      <c r="F38" s="12">
        <v>0</v>
      </c>
      <c r="G38" s="10">
        <v>54914.5</v>
      </c>
      <c r="H38" s="10">
        <v>51501.9</v>
      </c>
      <c r="I38" s="10">
        <v>0</v>
      </c>
      <c r="J38" s="10">
        <v>-3412.6000000000931</v>
      </c>
      <c r="K38" s="10">
        <f t="shared" si="3"/>
        <v>54914.500000000095</v>
      </c>
      <c r="L38" s="15"/>
      <c r="M38" s="16">
        <f t="shared" si="2"/>
        <v>9.4587448984384537E-11</v>
      </c>
    </row>
    <row r="39" spans="1:13" ht="13.5" x14ac:dyDescent="0.2">
      <c r="A39" s="9" t="s">
        <v>21</v>
      </c>
      <c r="B39" s="10">
        <v>0</v>
      </c>
      <c r="C39" s="10">
        <v>0</v>
      </c>
      <c r="D39" s="10"/>
      <c r="E39" s="10">
        <v>0</v>
      </c>
      <c r="F39" s="12">
        <v>0</v>
      </c>
      <c r="G39" s="10">
        <v>5979.07</v>
      </c>
      <c r="H39" s="10">
        <v>5979.07</v>
      </c>
      <c r="I39" s="10">
        <v>0</v>
      </c>
      <c r="J39" s="10">
        <v>0</v>
      </c>
      <c r="K39" s="10">
        <f t="shared" si="3"/>
        <v>5979.07</v>
      </c>
      <c r="L39" s="15"/>
      <c r="M39" s="16">
        <f t="shared" si="2"/>
        <v>0</v>
      </c>
    </row>
    <row r="40" spans="1:13" ht="13.5" x14ac:dyDescent="0.2">
      <c r="A40" s="9" t="s">
        <v>22</v>
      </c>
      <c r="B40" s="10">
        <v>0</v>
      </c>
      <c r="C40" s="10">
        <v>0</v>
      </c>
      <c r="D40" s="10"/>
      <c r="E40" s="10">
        <v>0</v>
      </c>
      <c r="F40" s="12">
        <v>0</v>
      </c>
      <c r="G40" s="10">
        <v>60932.3</v>
      </c>
      <c r="H40" s="10">
        <v>60932.3</v>
      </c>
      <c r="I40" s="10">
        <v>0</v>
      </c>
      <c r="J40" s="10">
        <v>0</v>
      </c>
      <c r="K40" s="10">
        <f t="shared" si="3"/>
        <v>60932.3</v>
      </c>
      <c r="L40" s="15"/>
      <c r="M40" s="16">
        <f t="shared" si="2"/>
        <v>0</v>
      </c>
    </row>
    <row r="41" spans="1:13" ht="13.5" x14ac:dyDescent="0.2">
      <c r="A41" s="9" t="s">
        <v>24</v>
      </c>
      <c r="B41" s="10">
        <v>0</v>
      </c>
      <c r="C41" s="10">
        <v>0</v>
      </c>
      <c r="D41" s="10"/>
      <c r="E41" s="10">
        <v>0</v>
      </c>
      <c r="F41" s="12">
        <v>0</v>
      </c>
      <c r="G41" s="10">
        <v>17486.5</v>
      </c>
      <c r="H41" s="10">
        <v>17486.5</v>
      </c>
      <c r="I41" s="10">
        <v>0</v>
      </c>
      <c r="J41" s="10">
        <v>0</v>
      </c>
      <c r="K41" s="10">
        <f t="shared" si="3"/>
        <v>17486.5</v>
      </c>
      <c r="L41" s="15"/>
      <c r="M41" s="16">
        <f t="shared" si="2"/>
        <v>0</v>
      </c>
    </row>
    <row r="42" spans="1:13" ht="13.5" x14ac:dyDescent="0.2">
      <c r="A42" s="9" t="s">
        <v>25</v>
      </c>
      <c r="B42" s="10">
        <v>0</v>
      </c>
      <c r="C42" s="10">
        <v>0</v>
      </c>
      <c r="D42" s="10"/>
      <c r="E42" s="10">
        <v>0</v>
      </c>
      <c r="F42" s="12">
        <v>0</v>
      </c>
      <c r="G42" s="10">
        <v>11051.67</v>
      </c>
      <c r="H42" s="10">
        <v>11051.67</v>
      </c>
      <c r="I42" s="10">
        <v>0</v>
      </c>
      <c r="J42" s="10">
        <v>0</v>
      </c>
      <c r="K42" s="10">
        <f t="shared" si="3"/>
        <v>11051.67</v>
      </c>
      <c r="L42" s="15"/>
      <c r="M42" s="16">
        <f t="shared" si="2"/>
        <v>0</v>
      </c>
    </row>
    <row r="43" spans="1:13" ht="13.5" x14ac:dyDescent="0.2">
      <c r="A43" s="9" t="s">
        <v>29</v>
      </c>
      <c r="B43" s="10">
        <v>0</v>
      </c>
      <c r="C43" s="10">
        <v>0</v>
      </c>
      <c r="D43" s="10"/>
      <c r="E43" s="10">
        <v>0</v>
      </c>
      <c r="F43" s="12">
        <v>0</v>
      </c>
      <c r="G43" s="10">
        <v>579680.76</v>
      </c>
      <c r="H43" s="10">
        <v>511987.09</v>
      </c>
      <c r="I43" s="10">
        <v>98358.75</v>
      </c>
      <c r="J43" s="10">
        <v>30665.079999999998</v>
      </c>
      <c r="K43" s="10">
        <f t="shared" si="3"/>
        <v>579680.76000000013</v>
      </c>
      <c r="L43" s="15"/>
      <c r="M43" s="16">
        <f t="shared" si="2"/>
        <v>0</v>
      </c>
    </row>
    <row r="44" spans="1:13" ht="13.5" x14ac:dyDescent="0.2">
      <c r="A44" s="9" t="s">
        <v>30</v>
      </c>
      <c r="B44" s="10">
        <v>0</v>
      </c>
      <c r="C44" s="10">
        <v>0</v>
      </c>
      <c r="D44" s="10"/>
      <c r="E44" s="10">
        <v>0</v>
      </c>
      <c r="F44" s="12">
        <v>0</v>
      </c>
      <c r="G44" s="10">
        <v>6199.68</v>
      </c>
      <c r="H44" s="10">
        <v>0</v>
      </c>
      <c r="I44" s="10">
        <v>6199.68</v>
      </c>
      <c r="J44" s="10">
        <v>0</v>
      </c>
      <c r="K44" s="10">
        <f t="shared" si="3"/>
        <v>6199.68</v>
      </c>
      <c r="L44" s="15"/>
      <c r="M44" s="16">
        <f t="shared" si="2"/>
        <v>0</v>
      </c>
    </row>
    <row r="45" spans="1:13" ht="13.5" x14ac:dyDescent="0.2">
      <c r="A45" s="9">
        <v>3001</v>
      </c>
      <c r="B45" s="10">
        <v>0</v>
      </c>
      <c r="C45" s="10">
        <v>0</v>
      </c>
      <c r="D45" s="10"/>
      <c r="E45" s="10">
        <v>0</v>
      </c>
      <c r="F45" s="12">
        <v>0</v>
      </c>
      <c r="G45" s="10">
        <v>510.97</v>
      </c>
      <c r="H45" s="10">
        <v>696</v>
      </c>
      <c r="I45" s="10">
        <v>0</v>
      </c>
      <c r="J45" s="10">
        <v>185.03</v>
      </c>
      <c r="K45" s="10">
        <f t="shared" si="3"/>
        <v>510.97</v>
      </c>
      <c r="L45" s="15"/>
      <c r="M45" s="16">
        <f t="shared" si="2"/>
        <v>0</v>
      </c>
    </row>
    <row r="46" spans="1:13" ht="13.5" x14ac:dyDescent="0.2">
      <c r="A46" s="9">
        <v>3002</v>
      </c>
      <c r="B46" s="10">
        <v>0</v>
      </c>
      <c r="C46" s="10">
        <v>0</v>
      </c>
      <c r="D46" s="10"/>
      <c r="E46" s="10">
        <v>0</v>
      </c>
      <c r="F46" s="12">
        <v>0</v>
      </c>
      <c r="G46" s="10">
        <v>64791.47</v>
      </c>
      <c r="H46" s="10">
        <v>64920.78</v>
      </c>
      <c r="I46" s="10">
        <v>0</v>
      </c>
      <c r="J46" s="10">
        <v>129.31</v>
      </c>
      <c r="K46" s="10">
        <f t="shared" si="3"/>
        <v>64791.47</v>
      </c>
      <c r="L46" s="15"/>
      <c r="M46" s="16">
        <f t="shared" si="2"/>
        <v>0</v>
      </c>
    </row>
    <row r="47" spans="1:13" ht="13.5" x14ac:dyDescent="0.2">
      <c r="A47" s="9"/>
      <c r="B47" s="10">
        <v>0</v>
      </c>
      <c r="C47" s="10">
        <v>0</v>
      </c>
      <c r="D47" s="10"/>
      <c r="E47" s="10">
        <v>0</v>
      </c>
      <c r="F47" s="12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3"/>
        <v>0</v>
      </c>
      <c r="L47" s="15"/>
      <c r="M47" s="16">
        <f t="shared" si="2"/>
        <v>0</v>
      </c>
    </row>
    <row r="48" spans="1:13" ht="13.5" x14ac:dyDescent="0.2">
      <c r="A48" s="24" t="s">
        <v>37</v>
      </c>
      <c r="B48" s="25">
        <v>0</v>
      </c>
      <c r="C48" s="25">
        <v>0</v>
      </c>
      <c r="D48" s="25"/>
      <c r="E48" s="25">
        <v>0</v>
      </c>
      <c r="F48" s="26">
        <v>0</v>
      </c>
      <c r="G48" s="25">
        <v>858611.81</v>
      </c>
      <c r="H48" s="25">
        <v>1406472.59</v>
      </c>
      <c r="I48" s="25">
        <v>349383.04000000004</v>
      </c>
      <c r="J48" s="25">
        <v>897243.82</v>
      </c>
      <c r="K48" s="25">
        <f t="shared" si="3"/>
        <v>858611.81000000017</v>
      </c>
      <c r="L48" s="27"/>
      <c r="M48" s="16">
        <f t="shared" si="2"/>
        <v>0</v>
      </c>
    </row>
    <row r="49" spans="1:13" ht="13.5" x14ac:dyDescent="0.2">
      <c r="A49" s="9" t="s">
        <v>18</v>
      </c>
      <c r="B49" s="10">
        <v>0</v>
      </c>
      <c r="C49" s="10">
        <v>0</v>
      </c>
      <c r="D49" s="10"/>
      <c r="E49" s="10">
        <v>0</v>
      </c>
      <c r="F49" s="12">
        <v>0</v>
      </c>
      <c r="G49" s="10">
        <v>38436.01</v>
      </c>
      <c r="H49" s="10">
        <v>62509.189999999988</v>
      </c>
      <c r="I49" s="10">
        <v>236626.82</v>
      </c>
      <c r="J49" s="10">
        <v>260700</v>
      </c>
      <c r="K49" s="10">
        <f t="shared" si="3"/>
        <v>38436.010000000009</v>
      </c>
      <c r="L49" s="15"/>
      <c r="M49" s="16">
        <f t="shared" si="2"/>
        <v>0</v>
      </c>
    </row>
    <row r="50" spans="1:13" ht="13.5" x14ac:dyDescent="0.2">
      <c r="A50" s="9" t="s">
        <v>20</v>
      </c>
      <c r="B50" s="10">
        <v>0</v>
      </c>
      <c r="C50" s="10">
        <v>0</v>
      </c>
      <c r="D50" s="10"/>
      <c r="E50" s="10">
        <v>0</v>
      </c>
      <c r="F50" s="12">
        <v>0</v>
      </c>
      <c r="G50" s="10">
        <v>137672.87</v>
      </c>
      <c r="H50" s="10">
        <v>19069.32</v>
      </c>
      <c r="I50" s="10">
        <v>1797063.97</v>
      </c>
      <c r="J50" s="10">
        <v>1678460.42</v>
      </c>
      <c r="K50" s="10">
        <f t="shared" si="3"/>
        <v>137672.87000000011</v>
      </c>
      <c r="L50" s="15"/>
      <c r="M50" s="16">
        <f t="shared" si="2"/>
        <v>0</v>
      </c>
    </row>
    <row r="51" spans="1:13" ht="13.5" x14ac:dyDescent="0.2">
      <c r="A51" s="9" t="s">
        <v>24</v>
      </c>
      <c r="B51" s="10">
        <v>0</v>
      </c>
      <c r="C51" s="10">
        <v>0</v>
      </c>
      <c r="D51" s="10"/>
      <c r="E51" s="10">
        <v>0</v>
      </c>
      <c r="F51" s="12">
        <v>0</v>
      </c>
      <c r="G51" s="10">
        <v>1712.89</v>
      </c>
      <c r="H51" s="10">
        <v>-15687.87</v>
      </c>
      <c r="I51" s="10">
        <v>536079.56000000006</v>
      </c>
      <c r="J51" s="10">
        <v>518678.8</v>
      </c>
      <c r="K51" s="10">
        <f t="shared" si="3"/>
        <v>1712.8900000000722</v>
      </c>
      <c r="L51" s="15"/>
      <c r="M51" s="16">
        <f t="shared" si="2"/>
        <v>7.2077455115504563E-11</v>
      </c>
    </row>
    <row r="52" spans="1:13" ht="13.5" x14ac:dyDescent="0.2">
      <c r="A52" s="9" t="s">
        <v>25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18649.8</v>
      </c>
      <c r="H52" s="10">
        <v>40388.06</v>
      </c>
      <c r="I52" s="10">
        <v>100000</v>
      </c>
      <c r="J52" s="10">
        <v>121738.26</v>
      </c>
      <c r="K52" s="10">
        <f t="shared" si="3"/>
        <v>18649.800000000003</v>
      </c>
      <c r="L52" s="15"/>
      <c r="M52" s="16">
        <f t="shared" si="2"/>
        <v>0</v>
      </c>
    </row>
    <row r="53" spans="1:13" ht="13.5" x14ac:dyDescent="0.2">
      <c r="A53" s="9" t="s">
        <v>29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337850.79</v>
      </c>
      <c r="H53" s="10">
        <v>419631.03</v>
      </c>
      <c r="I53" s="10">
        <v>-7.49</v>
      </c>
      <c r="J53" s="10">
        <v>81772.75</v>
      </c>
      <c r="K53" s="10">
        <f t="shared" si="3"/>
        <v>337850.79000000004</v>
      </c>
      <c r="L53" s="15"/>
      <c r="M53" s="16">
        <f t="shared" si="2"/>
        <v>0</v>
      </c>
    </row>
    <row r="54" spans="1:13" ht="13.5" x14ac:dyDescent="0.2">
      <c r="A54" s="9" t="s">
        <v>30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0</v>
      </c>
      <c r="H54" s="10">
        <v>538779.80000000005</v>
      </c>
      <c r="I54" s="10">
        <v>0</v>
      </c>
      <c r="J54" s="10">
        <v>538779.80000000005</v>
      </c>
      <c r="K54" s="10">
        <f t="shared" si="3"/>
        <v>0</v>
      </c>
      <c r="L54" s="15"/>
      <c r="M54" s="16">
        <f t="shared" si="2"/>
        <v>0</v>
      </c>
    </row>
    <row r="55" spans="1:13" ht="13.5" x14ac:dyDescent="0.2">
      <c r="A55" s="9">
        <v>3001</v>
      </c>
      <c r="B55" s="10">
        <v>0</v>
      </c>
      <c r="C55" s="10">
        <v>0</v>
      </c>
      <c r="D55" s="10"/>
      <c r="E55" s="10">
        <v>0</v>
      </c>
      <c r="F55" s="12">
        <v>0</v>
      </c>
      <c r="G55" s="10">
        <v>314.99</v>
      </c>
      <c r="H55" s="10">
        <v>315</v>
      </c>
      <c r="I55" s="10">
        <v>0</v>
      </c>
      <c r="J55" s="10">
        <v>0.01</v>
      </c>
      <c r="K55" s="10">
        <f t="shared" si="3"/>
        <v>314.99</v>
      </c>
      <c r="L55" s="15"/>
      <c r="M55" s="16">
        <f t="shared" si="2"/>
        <v>0</v>
      </c>
    </row>
    <row r="56" spans="1:13" ht="13.5" x14ac:dyDescent="0.2">
      <c r="A56" s="9">
        <v>3002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12858.9</v>
      </c>
      <c r="H56" s="10">
        <v>12858.91</v>
      </c>
      <c r="I56" s="10">
        <v>0</v>
      </c>
      <c r="J56" s="10">
        <v>0.01</v>
      </c>
      <c r="K56" s="10">
        <f t="shared" si="3"/>
        <v>12858.9</v>
      </c>
      <c r="L56" s="15"/>
      <c r="M56" s="16">
        <f t="shared" si="2"/>
        <v>0</v>
      </c>
    </row>
    <row r="57" spans="1:13" ht="13.5" x14ac:dyDescent="0.2">
      <c r="A57" s="9"/>
      <c r="B57" s="10">
        <v>0</v>
      </c>
      <c r="C57" s="10">
        <v>0</v>
      </c>
      <c r="D57" s="10"/>
      <c r="E57" s="10">
        <v>0</v>
      </c>
      <c r="F57" s="12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3"/>
        <v>0</v>
      </c>
      <c r="L57" s="15"/>
      <c r="M57" s="16">
        <f t="shared" si="2"/>
        <v>0</v>
      </c>
    </row>
    <row r="58" spans="1:13" ht="13.5" x14ac:dyDescent="0.2">
      <c r="A58" s="24" t="s">
        <v>38</v>
      </c>
      <c r="B58" s="25">
        <v>0</v>
      </c>
      <c r="C58" s="25">
        <v>0</v>
      </c>
      <c r="D58" s="25"/>
      <c r="E58" s="25">
        <v>0</v>
      </c>
      <c r="F58" s="26">
        <v>0</v>
      </c>
      <c r="G58" s="25">
        <v>547496.25</v>
      </c>
      <c r="H58" s="25">
        <v>1077863.44</v>
      </c>
      <c r="I58" s="25">
        <v>2669762.86</v>
      </c>
      <c r="J58" s="25">
        <v>3200130.0499999989</v>
      </c>
      <c r="K58" s="25">
        <f t="shared" si="3"/>
        <v>547496.25000000093</v>
      </c>
      <c r="L58" s="27"/>
      <c r="M58" s="16">
        <f t="shared" si="2"/>
        <v>9.3132257461547852E-10</v>
      </c>
    </row>
    <row r="59" spans="1:13" ht="13.5" x14ac:dyDescent="0.2">
      <c r="A59" s="9" t="s">
        <v>18</v>
      </c>
      <c r="B59" s="10">
        <v>0</v>
      </c>
      <c r="C59" s="10">
        <v>0</v>
      </c>
      <c r="D59" s="10"/>
      <c r="E59" s="10">
        <v>0</v>
      </c>
      <c r="F59" s="12">
        <v>0</v>
      </c>
      <c r="G59" s="10">
        <v>70435.27</v>
      </c>
      <c r="H59" s="10">
        <v>27196.65</v>
      </c>
      <c r="I59" s="10">
        <v>1260055.98</v>
      </c>
      <c r="J59" s="10">
        <v>1216817.3599999999</v>
      </c>
      <c r="K59" s="10">
        <f t="shared" si="3"/>
        <v>70435.270000000019</v>
      </c>
      <c r="L59" s="15"/>
      <c r="M59" s="16">
        <f t="shared" si="2"/>
        <v>0</v>
      </c>
    </row>
    <row r="60" spans="1:13" ht="13.5" x14ac:dyDescent="0.2">
      <c r="A60" s="9" t="s">
        <v>36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-10</v>
      </c>
      <c r="H60" s="10">
        <v>-10</v>
      </c>
      <c r="I60" s="10">
        <v>0</v>
      </c>
      <c r="J60" s="10">
        <v>0</v>
      </c>
      <c r="K60" s="10">
        <f t="shared" si="3"/>
        <v>-10</v>
      </c>
      <c r="L60" s="15"/>
      <c r="M60" s="16">
        <f t="shared" si="2"/>
        <v>0</v>
      </c>
    </row>
    <row r="61" spans="1:13" ht="13.5" x14ac:dyDescent="0.2">
      <c r="A61" s="9" t="s">
        <v>20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10409.09</v>
      </c>
      <c r="H61" s="10">
        <v>8124.4500000000007</v>
      </c>
      <c r="I61" s="10">
        <v>1364164.99</v>
      </c>
      <c r="J61" s="10">
        <v>1361880.35</v>
      </c>
      <c r="K61" s="10">
        <f t="shared" si="3"/>
        <v>10409.089999999851</v>
      </c>
      <c r="L61" s="15"/>
      <c r="M61" s="16">
        <f t="shared" si="2"/>
        <v>-1.4915713109076023E-10</v>
      </c>
    </row>
    <row r="62" spans="1:13" ht="13.5" x14ac:dyDescent="0.2">
      <c r="A62" s="9" t="s">
        <v>24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1150.8900000000001</v>
      </c>
      <c r="H62" s="10">
        <v>42631.81</v>
      </c>
      <c r="I62" s="10">
        <v>412765.08</v>
      </c>
      <c r="J62" s="10">
        <v>454246</v>
      </c>
      <c r="K62" s="10">
        <f t="shared" si="3"/>
        <v>1150.890000000014</v>
      </c>
      <c r="L62" s="15"/>
      <c r="M62" s="16">
        <f t="shared" si="2"/>
        <v>1.3869794202037156E-11</v>
      </c>
    </row>
    <row r="63" spans="1:13" ht="13.5" x14ac:dyDescent="0.2">
      <c r="A63" s="9" t="s">
        <v>25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-1415.64</v>
      </c>
      <c r="H63" s="10">
        <v>719.87</v>
      </c>
      <c r="I63" s="10">
        <v>17662.490000000002</v>
      </c>
      <c r="J63" s="10">
        <v>19798</v>
      </c>
      <c r="K63" s="10">
        <f t="shared" si="3"/>
        <v>-1415.6399999999994</v>
      </c>
      <c r="L63" s="15"/>
      <c r="M63" s="16">
        <f t="shared" si="2"/>
        <v>0</v>
      </c>
    </row>
    <row r="64" spans="1:13" ht="13.5" x14ac:dyDescent="0.2">
      <c r="A64" s="9" t="s">
        <v>27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267528.84000000003</v>
      </c>
      <c r="H64" s="10">
        <v>0</v>
      </c>
      <c r="I64" s="10">
        <v>267528.84000000003</v>
      </c>
      <c r="J64" s="10">
        <v>0</v>
      </c>
      <c r="K64" s="10">
        <f t="shared" si="3"/>
        <v>267528.84000000003</v>
      </c>
      <c r="L64" s="15"/>
      <c r="M64" s="16">
        <f t="shared" si="2"/>
        <v>0</v>
      </c>
    </row>
    <row r="65" spans="1:13" ht="13.5" x14ac:dyDescent="0.2">
      <c r="A65" s="9" t="s">
        <v>29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238880.59</v>
      </c>
      <c r="H65" s="10">
        <v>286118.3</v>
      </c>
      <c r="I65" s="10">
        <v>98358.74</v>
      </c>
      <c r="J65" s="10">
        <v>145596.44999999998</v>
      </c>
      <c r="K65" s="10">
        <f t="shared" si="3"/>
        <v>238880.59</v>
      </c>
      <c r="L65" s="15"/>
      <c r="M65" s="16">
        <f t="shared" si="2"/>
        <v>0</v>
      </c>
    </row>
    <row r="66" spans="1:13" ht="13.5" x14ac:dyDescent="0.2">
      <c r="A66" s="9" t="s">
        <v>30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3"/>
        <v>0</v>
      </c>
      <c r="L66" s="15"/>
      <c r="M66" s="16">
        <f t="shared" si="2"/>
        <v>0</v>
      </c>
    </row>
    <row r="67" spans="1:13" ht="13.5" x14ac:dyDescent="0.2">
      <c r="A67" s="9"/>
      <c r="B67" s="10">
        <v>0</v>
      </c>
      <c r="C67" s="10">
        <v>0</v>
      </c>
      <c r="D67" s="10"/>
      <c r="E67" s="10">
        <v>0</v>
      </c>
      <c r="F67" s="12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3"/>
        <v>0</v>
      </c>
      <c r="L67" s="15"/>
      <c r="M67" s="16">
        <f t="shared" si="2"/>
        <v>0</v>
      </c>
    </row>
    <row r="68" spans="1:13" ht="13.5" x14ac:dyDescent="0.2">
      <c r="A68" s="24" t="s">
        <v>39</v>
      </c>
      <c r="B68" s="25">
        <v>0</v>
      </c>
      <c r="C68" s="25">
        <v>0</v>
      </c>
      <c r="D68" s="25"/>
      <c r="E68" s="25">
        <v>0</v>
      </c>
      <c r="F68" s="26">
        <v>0</v>
      </c>
      <c r="G68" s="25">
        <v>586979.04</v>
      </c>
      <c r="H68" s="25">
        <v>364781.07999999996</v>
      </c>
      <c r="I68" s="25">
        <v>3420536.12</v>
      </c>
      <c r="J68" s="25">
        <v>3198338.16</v>
      </c>
      <c r="K68" s="25">
        <f t="shared" si="3"/>
        <v>586979.04</v>
      </c>
      <c r="L68" s="27"/>
      <c r="M68" s="16">
        <f t="shared" si="2"/>
        <v>0</v>
      </c>
    </row>
    <row r="69" spans="1:13" ht="13.5" x14ac:dyDescent="0.2">
      <c r="A69" s="9" t="s">
        <v>18</v>
      </c>
      <c r="B69" s="10">
        <v>0</v>
      </c>
      <c r="C69" s="10">
        <v>0</v>
      </c>
      <c r="D69" s="10"/>
      <c r="E69" s="10">
        <v>0</v>
      </c>
      <c r="F69" s="12">
        <v>0</v>
      </c>
      <c r="G69" s="10">
        <v>1852.17</v>
      </c>
      <c r="H69" s="10">
        <v>21852.97</v>
      </c>
      <c r="I69" s="10">
        <v>0</v>
      </c>
      <c r="J69" s="10">
        <v>20000.8</v>
      </c>
      <c r="K69" s="10">
        <f t="shared" si="3"/>
        <v>1852.1700000000019</v>
      </c>
      <c r="L69" s="15"/>
      <c r="M69" s="16">
        <f t="shared" si="2"/>
        <v>1.8189894035458565E-12</v>
      </c>
    </row>
    <row r="70" spans="1:13" ht="13.5" x14ac:dyDescent="0.2">
      <c r="A70" s="9" t="s">
        <v>24</v>
      </c>
      <c r="B70" s="10">
        <v>0</v>
      </c>
      <c r="C70" s="10">
        <v>0</v>
      </c>
      <c r="D70" s="10"/>
      <c r="E70" s="10">
        <v>0</v>
      </c>
      <c r="F70" s="12">
        <v>0</v>
      </c>
      <c r="G70" s="10">
        <v>43212.38</v>
      </c>
      <c r="H70" s="10">
        <v>43212.38</v>
      </c>
      <c r="I70" s="10">
        <v>0</v>
      </c>
      <c r="J70" s="10">
        <v>0</v>
      </c>
      <c r="K70" s="10">
        <f t="shared" si="3"/>
        <v>43212.38</v>
      </c>
      <c r="L70" s="15"/>
      <c r="M70" s="16">
        <f t="shared" si="2"/>
        <v>0</v>
      </c>
    </row>
    <row r="71" spans="1:13" ht="13.5" x14ac:dyDescent="0.2">
      <c r="A71" s="9" t="s">
        <v>25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1625.34</v>
      </c>
      <c r="H71" s="10">
        <v>8443.23</v>
      </c>
      <c r="I71" s="10">
        <v>10845.58</v>
      </c>
      <c r="J71" s="10">
        <v>17663.47</v>
      </c>
      <c r="K71" s="10">
        <f t="shared" si="3"/>
        <v>1625.3399999999965</v>
      </c>
      <c r="L71" s="15"/>
      <c r="M71" s="16">
        <f t="shared" si="2"/>
        <v>-3.4106051316484809E-12</v>
      </c>
    </row>
    <row r="72" spans="1:13" ht="13.5" x14ac:dyDescent="0.2">
      <c r="A72" s="9" t="s">
        <v>26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20682.669999999998</v>
      </c>
      <c r="H72" s="10">
        <v>0</v>
      </c>
      <c r="I72" s="10">
        <v>20682.669999999998</v>
      </c>
      <c r="J72" s="10">
        <v>0</v>
      </c>
      <c r="K72" s="10">
        <f t="shared" si="3"/>
        <v>20682.669999999998</v>
      </c>
      <c r="L72" s="15"/>
      <c r="M72" s="16">
        <f t="shared" si="2"/>
        <v>0</v>
      </c>
    </row>
    <row r="73" spans="1:13" ht="13.5" x14ac:dyDescent="0.2">
      <c r="A73" s="9" t="s">
        <v>29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74081.95</v>
      </c>
      <c r="H73" s="10">
        <v>79147.360000000001</v>
      </c>
      <c r="I73" s="10">
        <v>0</v>
      </c>
      <c r="J73" s="10">
        <v>5065.41</v>
      </c>
      <c r="K73" s="10">
        <f t="shared" si="3"/>
        <v>74081.95</v>
      </c>
      <c r="L73" s="15"/>
      <c r="M73" s="16">
        <f t="shared" si="2"/>
        <v>0</v>
      </c>
    </row>
    <row r="74" spans="1:13" ht="13.5" x14ac:dyDescent="0.2">
      <c r="A74" s="9" t="s">
        <v>30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50395.07</v>
      </c>
      <c r="H74" s="10">
        <v>0</v>
      </c>
      <c r="I74" s="10">
        <v>0</v>
      </c>
      <c r="J74" s="10">
        <v>0</v>
      </c>
      <c r="K74" s="10">
        <f t="shared" si="3"/>
        <v>0</v>
      </c>
      <c r="L74" s="15"/>
      <c r="M74" s="16">
        <f t="shared" ref="M74:M87" si="6">+K74-G74</f>
        <v>-50395.07</v>
      </c>
    </row>
    <row r="75" spans="1:13" ht="13.5" x14ac:dyDescent="0.2">
      <c r="A75" s="9"/>
      <c r="B75" s="10">
        <v>0</v>
      </c>
      <c r="C75" s="10">
        <v>0</v>
      </c>
      <c r="D75" s="10"/>
      <c r="E75" s="10">
        <v>0</v>
      </c>
      <c r="F75" s="12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ref="K75:K83" si="7">H75+I75-J75</f>
        <v>0</v>
      </c>
      <c r="L75" s="15"/>
      <c r="M75" s="16">
        <f t="shared" si="6"/>
        <v>0</v>
      </c>
    </row>
    <row r="76" spans="1:13" ht="13.5" x14ac:dyDescent="0.2">
      <c r="A76" s="24" t="s">
        <v>40</v>
      </c>
      <c r="B76" s="25">
        <v>0</v>
      </c>
      <c r="C76" s="25">
        <v>0</v>
      </c>
      <c r="D76" s="25"/>
      <c r="E76" s="25">
        <v>0</v>
      </c>
      <c r="F76" s="26">
        <v>0</v>
      </c>
      <c r="G76" s="25">
        <v>191849.58000000002</v>
      </c>
      <c r="H76" s="25">
        <v>206107.62</v>
      </c>
      <c r="I76" s="25">
        <v>31528.25</v>
      </c>
      <c r="J76" s="25">
        <v>45786.290000000008</v>
      </c>
      <c r="K76" s="25">
        <f t="shared" si="7"/>
        <v>191849.58</v>
      </c>
      <c r="L76" s="27"/>
      <c r="M76" s="16">
        <f t="shared" si="6"/>
        <v>0</v>
      </c>
    </row>
    <row r="77" spans="1:13" ht="13.5" x14ac:dyDescent="0.2">
      <c r="A77" s="9" t="s">
        <v>36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12193</v>
      </c>
      <c r="H77" s="10">
        <v>13553.029999999999</v>
      </c>
      <c r="I77" s="10">
        <v>0</v>
      </c>
      <c r="J77" s="10">
        <v>1360.03</v>
      </c>
      <c r="K77" s="10">
        <f t="shared" si="7"/>
        <v>12192.999999999998</v>
      </c>
      <c r="L77" s="15"/>
      <c r="M77" s="16">
        <f t="shared" si="6"/>
        <v>0</v>
      </c>
    </row>
    <row r="78" spans="1:13" ht="13.5" x14ac:dyDescent="0.2">
      <c r="A78" s="9" t="s">
        <v>29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7163.64</v>
      </c>
      <c r="H78" s="10">
        <v>6216.71</v>
      </c>
      <c r="I78" s="10">
        <v>4500</v>
      </c>
      <c r="J78" s="10">
        <v>3553.0699999999997</v>
      </c>
      <c r="K78" s="10">
        <f t="shared" si="7"/>
        <v>7163.6399999999994</v>
      </c>
      <c r="L78" s="15"/>
      <c r="M78" s="16">
        <f t="shared" si="6"/>
        <v>0</v>
      </c>
    </row>
    <row r="79" spans="1:13" ht="13.5" x14ac:dyDescent="0.2">
      <c r="A79" s="9"/>
      <c r="B79" s="10">
        <v>0</v>
      </c>
      <c r="C79" s="10">
        <v>0</v>
      </c>
      <c r="D79" s="10"/>
      <c r="E79" s="10">
        <v>0</v>
      </c>
      <c r="F79" s="12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7"/>
        <v>0</v>
      </c>
      <c r="L79" s="15"/>
      <c r="M79" s="16">
        <f t="shared" si="6"/>
        <v>0</v>
      </c>
    </row>
    <row r="80" spans="1:13" ht="13.5" x14ac:dyDescent="0.2">
      <c r="A80" s="24" t="s">
        <v>41</v>
      </c>
      <c r="B80" s="25">
        <v>0</v>
      </c>
      <c r="C80" s="25">
        <v>0</v>
      </c>
      <c r="D80" s="25"/>
      <c r="E80" s="25">
        <v>0</v>
      </c>
      <c r="F80" s="26">
        <v>0</v>
      </c>
      <c r="G80" s="25">
        <v>19356.64</v>
      </c>
      <c r="H80" s="25">
        <v>19769.739999999998</v>
      </c>
      <c r="I80" s="25">
        <v>4500</v>
      </c>
      <c r="J80" s="25">
        <v>4913.0999999999995</v>
      </c>
      <c r="K80" s="25">
        <f t="shared" si="7"/>
        <v>19356.64</v>
      </c>
      <c r="L80" s="27"/>
      <c r="M80" s="16">
        <f t="shared" si="6"/>
        <v>0</v>
      </c>
    </row>
    <row r="81" spans="1:13" ht="13.5" x14ac:dyDescent="0.2">
      <c r="A81" s="9" t="s">
        <v>36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4081.54</v>
      </c>
      <c r="H81" s="10">
        <v>4081.54</v>
      </c>
      <c r="I81" s="10">
        <v>0</v>
      </c>
      <c r="J81" s="10">
        <v>0</v>
      </c>
      <c r="K81" s="10">
        <f t="shared" si="7"/>
        <v>4081.54</v>
      </c>
      <c r="L81" s="15"/>
      <c r="M81" s="16">
        <f t="shared" si="6"/>
        <v>0</v>
      </c>
    </row>
    <row r="82" spans="1:13" ht="13.5" x14ac:dyDescent="0.2">
      <c r="A82" s="9" t="s">
        <v>29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28063.68</v>
      </c>
      <c r="H82" s="10">
        <v>2763.68</v>
      </c>
      <c r="I82" s="10">
        <v>25300</v>
      </c>
      <c r="J82" s="10">
        <v>0</v>
      </c>
      <c r="K82" s="10">
        <f t="shared" si="7"/>
        <v>28063.68</v>
      </c>
      <c r="L82" s="15"/>
      <c r="M82" s="16">
        <f t="shared" si="6"/>
        <v>0</v>
      </c>
    </row>
    <row r="83" spans="1:13" ht="13.5" x14ac:dyDescent="0.2">
      <c r="A83" s="9"/>
      <c r="B83" s="10">
        <v>0</v>
      </c>
      <c r="C83" s="10">
        <v>0</v>
      </c>
      <c r="D83" s="10"/>
      <c r="E83" s="10">
        <v>0</v>
      </c>
      <c r="F83" s="12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7"/>
        <v>0</v>
      </c>
      <c r="L83" s="15"/>
      <c r="M83" s="16">
        <f t="shared" si="6"/>
        <v>0</v>
      </c>
    </row>
    <row r="84" spans="1:13" ht="13.5" x14ac:dyDescent="0.2">
      <c r="A84" s="24" t="s">
        <v>42</v>
      </c>
      <c r="B84" s="25">
        <v>0</v>
      </c>
      <c r="C84" s="25">
        <v>0</v>
      </c>
      <c r="D84" s="25"/>
      <c r="E84" s="25">
        <v>0</v>
      </c>
      <c r="F84" s="26">
        <v>0</v>
      </c>
      <c r="G84" s="25">
        <v>32145.22</v>
      </c>
      <c r="H84" s="25">
        <v>6845.2199999999993</v>
      </c>
      <c r="I84" s="25">
        <v>25300</v>
      </c>
      <c r="J84" s="25">
        <v>0</v>
      </c>
      <c r="K84" s="25">
        <f>H84+I84-J84</f>
        <v>32145.22</v>
      </c>
      <c r="L84" s="27"/>
      <c r="M84" s="16">
        <f t="shared" si="6"/>
        <v>0</v>
      </c>
    </row>
    <row r="85" spans="1:13" ht="13.5" x14ac:dyDescent="0.2">
      <c r="A85" s="9"/>
      <c r="B85" s="10">
        <v>0</v>
      </c>
      <c r="C85" s="10">
        <v>0</v>
      </c>
      <c r="D85" s="10"/>
      <c r="E85" s="10">
        <v>0</v>
      </c>
      <c r="F85" s="12">
        <v>0</v>
      </c>
      <c r="G85" s="10">
        <v>0</v>
      </c>
      <c r="H85" s="10">
        <v>0</v>
      </c>
      <c r="I85" s="10">
        <v>0</v>
      </c>
      <c r="J85" s="10">
        <v>0</v>
      </c>
      <c r="K85" s="10">
        <f>H85+I85-J85</f>
        <v>0</v>
      </c>
      <c r="L85" s="15"/>
      <c r="M85" s="16">
        <f t="shared" si="6"/>
        <v>0</v>
      </c>
    </row>
    <row r="86" spans="1:13" ht="27" x14ac:dyDescent="0.2">
      <c r="A86" s="24" t="s">
        <v>43</v>
      </c>
      <c r="B86" s="25">
        <v>0</v>
      </c>
      <c r="C86" s="25">
        <v>0</v>
      </c>
      <c r="D86" s="25"/>
      <c r="E86" s="25">
        <v>0</v>
      </c>
      <c r="F86" s="26">
        <v>0</v>
      </c>
      <c r="G86" s="25">
        <v>10879005.670000002</v>
      </c>
      <c r="H86" s="25">
        <v>11745328.699999999</v>
      </c>
      <c r="I86" s="25">
        <v>7435588.8399999999</v>
      </c>
      <c r="J86" s="25">
        <v>8301911.8699999982</v>
      </c>
      <c r="K86" s="25">
        <f>H86+I86-J86</f>
        <v>10879005.670000002</v>
      </c>
      <c r="L86" s="27"/>
      <c r="M86" s="16">
        <f t="shared" si="6"/>
        <v>0</v>
      </c>
    </row>
    <row r="87" spans="1:13" ht="13.5" x14ac:dyDescent="0.2">
      <c r="A87" s="9"/>
      <c r="B87" s="10">
        <v>0</v>
      </c>
      <c r="C87" s="10">
        <v>0</v>
      </c>
      <c r="D87" s="10"/>
      <c r="E87" s="10">
        <v>0</v>
      </c>
      <c r="F87" s="12">
        <v>0</v>
      </c>
      <c r="G87" s="10">
        <v>0</v>
      </c>
      <c r="H87" s="10">
        <v>0</v>
      </c>
      <c r="I87" s="10">
        <v>0</v>
      </c>
      <c r="J87" s="10">
        <v>0</v>
      </c>
      <c r="K87" s="10">
        <f>H87+I87-J87</f>
        <v>0</v>
      </c>
      <c r="L87" s="15"/>
      <c r="M87" s="16">
        <f t="shared" si="6"/>
        <v>0</v>
      </c>
    </row>
    <row r="88" spans="1:13" ht="13.5" x14ac:dyDescent="0.2">
      <c r="A88" s="24" t="s">
        <v>44</v>
      </c>
      <c r="B88" s="25">
        <v>89826931.689999998</v>
      </c>
      <c r="C88" s="25">
        <v>50641455.75</v>
      </c>
      <c r="D88" s="25"/>
      <c r="E88" s="25">
        <v>29577422.260000005</v>
      </c>
      <c r="F88" s="26">
        <v>0</v>
      </c>
      <c r="G88" s="25">
        <v>31943039.16</v>
      </c>
      <c r="H88" s="25">
        <f>+H27+H35+H48+H58+H68+H76+H80+H84+H86</f>
        <v>34536141.079999998</v>
      </c>
      <c r="I88" s="25">
        <v>8148728.5599999996</v>
      </c>
      <c r="J88" s="25">
        <v>9054983.8299999982</v>
      </c>
      <c r="K88" s="25">
        <f>H88+I88-J88</f>
        <v>33629885.810000002</v>
      </c>
      <c r="L88" s="27"/>
    </row>
    <row r="89" spans="1:13" ht="13.5" x14ac:dyDescent="0.25">
      <c r="A89" s="28"/>
      <c r="B89" s="29"/>
      <c r="C89" s="29"/>
      <c r="D89" s="29"/>
      <c r="E89" s="28"/>
      <c r="F89" s="28"/>
      <c r="G89" s="28"/>
      <c r="H89" s="28"/>
      <c r="I89" s="28"/>
      <c r="J89" s="28"/>
      <c r="K89" s="28"/>
      <c r="L89" s="30"/>
    </row>
    <row r="90" spans="1:13" x14ac:dyDescent="0.2">
      <c r="A90" s="19"/>
      <c r="B90" s="19"/>
      <c r="C90" s="333" t="s">
        <v>45</v>
      </c>
      <c r="D90" s="333"/>
      <c r="E90" s="333"/>
      <c r="F90" s="333"/>
      <c r="G90" s="333"/>
      <c r="H90" s="333"/>
      <c r="I90" s="333"/>
      <c r="J90" s="19"/>
      <c r="K90" s="19"/>
      <c r="L90" s="19"/>
    </row>
    <row r="91" spans="1:13" x14ac:dyDescent="0.2">
      <c r="A91" s="19"/>
      <c r="B91" s="19"/>
      <c r="C91" s="31"/>
      <c r="D91" s="31"/>
      <c r="E91" s="31"/>
      <c r="F91" s="31"/>
      <c r="G91" s="31"/>
      <c r="H91" s="31"/>
      <c r="I91" s="31"/>
      <c r="J91" s="19"/>
      <c r="K91" s="19"/>
      <c r="L91" s="19"/>
    </row>
    <row r="92" spans="1:13" ht="13.5" x14ac:dyDescent="0.25">
      <c r="A92" s="19"/>
      <c r="B92" s="325" t="s">
        <v>46</v>
      </c>
      <c r="C92" s="325"/>
      <c r="D92" s="326" t="s">
        <v>47</v>
      </c>
      <c r="E92" s="327"/>
      <c r="F92" s="328"/>
      <c r="G92" s="320" t="s">
        <v>48</v>
      </c>
      <c r="H92" s="320"/>
      <c r="I92" s="32" t="s">
        <v>10</v>
      </c>
      <c r="J92" s="19"/>
      <c r="K92" s="19"/>
      <c r="L92" s="19"/>
    </row>
    <row r="93" spans="1:13" ht="13.5" x14ac:dyDescent="0.25">
      <c r="A93" s="19"/>
      <c r="B93" s="329" t="s">
        <v>49</v>
      </c>
      <c r="C93" s="329"/>
      <c r="D93" s="330">
        <v>8135543</v>
      </c>
      <c r="E93" s="331"/>
      <c r="F93" s="332">
        <v>0</v>
      </c>
      <c r="G93" s="330">
        <v>7893704.2000000002</v>
      </c>
      <c r="H93" s="332"/>
      <c r="I93" s="33">
        <f>G93/D93</f>
        <v>0.97027379733596153</v>
      </c>
      <c r="J93" s="19"/>
      <c r="K93" s="19"/>
      <c r="L93" s="19"/>
    </row>
    <row r="94" spans="1:13" ht="13.5" x14ac:dyDescent="0.25">
      <c r="A94" s="19"/>
      <c r="B94" s="320"/>
      <c r="C94" s="320"/>
      <c r="D94" s="321"/>
      <c r="E94" s="322"/>
      <c r="F94" s="323"/>
      <c r="G94" s="324"/>
      <c r="H94" s="324"/>
      <c r="I94" s="34"/>
      <c r="J94" s="19"/>
      <c r="K94" s="19"/>
      <c r="L94" s="19"/>
    </row>
    <row r="95" spans="1:13" ht="13.5" x14ac:dyDescent="0.25">
      <c r="A95" s="19"/>
      <c r="B95" s="320"/>
      <c r="C95" s="320"/>
      <c r="D95" s="321"/>
      <c r="E95" s="322"/>
      <c r="F95" s="323"/>
      <c r="G95" s="324"/>
      <c r="H95" s="324"/>
      <c r="I95" s="34"/>
      <c r="J95" s="19"/>
      <c r="K95" s="19"/>
      <c r="L95" s="19"/>
    </row>
    <row r="96" spans="1:13" ht="13.5" x14ac:dyDescent="0.25">
      <c r="A96" s="19"/>
      <c r="B96" s="320"/>
      <c r="C96" s="320"/>
      <c r="D96" s="321"/>
      <c r="E96" s="322"/>
      <c r="F96" s="323"/>
      <c r="G96" s="324"/>
      <c r="H96" s="324"/>
      <c r="I96" s="34"/>
      <c r="J96" s="19"/>
      <c r="K96" s="19"/>
      <c r="L96" s="19"/>
    </row>
    <row r="97" spans="1:12" ht="13.5" x14ac:dyDescent="0.25">
      <c r="A97" s="35" t="s">
        <v>50</v>
      </c>
      <c r="B97" s="36"/>
      <c r="C97" s="36"/>
      <c r="D97" s="36"/>
      <c r="E97" s="36"/>
      <c r="F97" s="36"/>
      <c r="G97" s="37"/>
      <c r="H97" s="37"/>
      <c r="I97" s="38"/>
      <c r="J97" s="19"/>
      <c r="K97" s="19"/>
      <c r="L97" s="19"/>
    </row>
  </sheetData>
  <mergeCells count="31">
    <mergeCell ref="C90:I90"/>
    <mergeCell ref="A1:L1"/>
    <mergeCell ref="A3:L3"/>
    <mergeCell ref="C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92:C92"/>
    <mergeCell ref="D92:F92"/>
    <mergeCell ref="G92:H92"/>
    <mergeCell ref="B93:C93"/>
    <mergeCell ref="D93:F93"/>
    <mergeCell ref="G93:H93"/>
    <mergeCell ref="B96:C96"/>
    <mergeCell ref="D96:F96"/>
    <mergeCell ref="G96:H96"/>
    <mergeCell ref="B94:C94"/>
    <mergeCell ref="D94:F94"/>
    <mergeCell ref="G94:H94"/>
    <mergeCell ref="B95:C95"/>
    <mergeCell ref="D95:F95"/>
    <mergeCell ref="G95:H9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100"/>
  <sheetViews>
    <sheetView workbookViewId="0">
      <selection activeCell="I12" sqref="I12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24.28515625" style="165" customWidth="1"/>
    <col min="14" max="14" width="16.5703125" style="186" customWidth="1"/>
    <col min="15" max="16" width="16.5703125" style="141"/>
    <col min="17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6" x14ac:dyDescent="0.25">
      <c r="A1" s="334" t="s">
        <v>146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6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334" t="s">
        <v>147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6" x14ac:dyDescent="0.25">
      <c r="A4" s="3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6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</row>
    <row r="6" spans="1:16" x14ac:dyDescent="0.25">
      <c r="A6" s="334" t="s">
        <v>146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6" x14ac:dyDescent="0.25">
      <c r="A7" s="334" t="s">
        <v>176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6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</row>
    <row r="9" spans="1:16" s="17" customForma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166"/>
      <c r="N9" s="187"/>
      <c r="O9" s="142"/>
      <c r="P9" s="142"/>
    </row>
    <row r="10" spans="1:16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O10" s="151"/>
    </row>
    <row r="11" spans="1:16" s="17" customFormat="1" x14ac:dyDescent="0.25">
      <c r="A11" s="139" t="s">
        <v>18</v>
      </c>
      <c r="B11" s="14">
        <v>12913787.119999999</v>
      </c>
      <c r="C11" s="251">
        <f>5243235.65+361287.21</f>
        <v>5604522.8600000003</v>
      </c>
      <c r="D11" s="297">
        <v>1950.87</v>
      </c>
      <c r="E11" s="251">
        <v>5266328.32</v>
      </c>
      <c r="F11" s="14">
        <f>+E11/C11</f>
        <v>0.93965685421434786</v>
      </c>
      <c r="G11" s="251">
        <f>+C11+D11-E11</f>
        <v>340145.41000000015</v>
      </c>
      <c r="H11" s="297">
        <f>85670.41+34600</f>
        <v>120270.41</v>
      </c>
      <c r="I11" s="251">
        <f>170000+78866</f>
        <v>248866</v>
      </c>
      <c r="J11" s="251">
        <f>4320+24671</f>
        <v>28991</v>
      </c>
      <c r="K11" s="295">
        <f>H11+I11-J11</f>
        <v>340145.41000000003</v>
      </c>
      <c r="L11" s="15">
        <f>+F11</f>
        <v>0.93965685421434786</v>
      </c>
      <c r="M11" s="61">
        <f t="shared" ref="M11:M23" si="0">+K11-G11</f>
        <v>0</v>
      </c>
      <c r="N11" s="278"/>
      <c r="O11" s="153"/>
      <c r="P11" s="142"/>
    </row>
    <row r="12" spans="1:16" x14ac:dyDescent="0.2">
      <c r="A12" s="139" t="s">
        <v>20</v>
      </c>
      <c r="B12" s="14">
        <v>30330208</v>
      </c>
      <c r="C12" s="297">
        <v>11776404.289999999</v>
      </c>
      <c r="D12" s="297">
        <v>5.79</v>
      </c>
      <c r="E12" s="251">
        <v>10802147.779999999</v>
      </c>
      <c r="F12" s="14">
        <f t="shared" ref="F12:F17" si="1">+E12/C12</f>
        <v>0.91727045998010659</v>
      </c>
      <c r="G12" s="251">
        <f t="shared" ref="G12:G23" si="2">+C12+D12-E12</f>
        <v>974262.29999999888</v>
      </c>
      <c r="H12" s="297">
        <f>569228.3+40000</f>
        <v>609228.30000000005</v>
      </c>
      <c r="I12" s="251">
        <f>512055+28500</f>
        <v>540555</v>
      </c>
      <c r="J12" s="251">
        <f>130551+44970</f>
        <v>175521</v>
      </c>
      <c r="K12" s="295">
        <f t="shared" ref="K12:K21" si="3">H12+I12-J12</f>
        <v>974262.3</v>
      </c>
      <c r="L12" s="15">
        <f t="shared" ref="L12:L23" si="4">+F12</f>
        <v>0.91727045998010659</v>
      </c>
      <c r="M12" s="61">
        <f t="shared" si="0"/>
        <v>1.1641532182693481E-9</v>
      </c>
      <c r="N12" s="279"/>
      <c r="O12" s="151"/>
    </row>
    <row r="13" spans="1:16" x14ac:dyDescent="0.2">
      <c r="A13" s="139" t="s">
        <v>21</v>
      </c>
      <c r="B13" s="14">
        <v>281207</v>
      </c>
      <c r="C13" s="297">
        <v>151258.17000000001</v>
      </c>
      <c r="D13" s="297">
        <v>0</v>
      </c>
      <c r="E13" s="297">
        <v>0</v>
      </c>
      <c r="F13" s="14">
        <f t="shared" si="1"/>
        <v>0</v>
      </c>
      <c r="G13" s="251">
        <f t="shared" si="2"/>
        <v>151258.17000000001</v>
      </c>
      <c r="H13" s="297">
        <v>151258.17000000001</v>
      </c>
      <c r="I13" s="251">
        <v>0</v>
      </c>
      <c r="J13" s="251">
        <v>0</v>
      </c>
      <c r="K13" s="295">
        <f t="shared" si="3"/>
        <v>151258.17000000001</v>
      </c>
      <c r="L13" s="15">
        <f t="shared" si="4"/>
        <v>0</v>
      </c>
      <c r="M13" s="296">
        <f t="shared" si="0"/>
        <v>0</v>
      </c>
      <c r="N13" s="280"/>
    </row>
    <row r="14" spans="1:16" x14ac:dyDescent="0.2">
      <c r="A14" s="139" t="s">
        <v>22</v>
      </c>
      <c r="B14" s="14">
        <v>573761</v>
      </c>
      <c r="C14" s="297">
        <v>254834.66</v>
      </c>
      <c r="D14" s="297">
        <v>0</v>
      </c>
      <c r="E14" s="297">
        <v>56376</v>
      </c>
      <c r="F14" s="14">
        <f t="shared" si="1"/>
        <v>0.22122579401090886</v>
      </c>
      <c r="G14" s="251">
        <f t="shared" si="2"/>
        <v>198458.66</v>
      </c>
      <c r="H14" s="297">
        <v>198458.66</v>
      </c>
      <c r="I14" s="251">
        <v>0</v>
      </c>
      <c r="J14" s="251">
        <v>0</v>
      </c>
      <c r="K14" s="295">
        <f t="shared" si="3"/>
        <v>198458.66</v>
      </c>
      <c r="L14" s="15">
        <f t="shared" si="4"/>
        <v>0.22122579401090886</v>
      </c>
      <c r="M14" s="296">
        <f t="shared" si="0"/>
        <v>0</v>
      </c>
      <c r="N14" s="280"/>
    </row>
    <row r="15" spans="1:16" x14ac:dyDescent="0.2">
      <c r="A15" s="139" t="s">
        <v>23</v>
      </c>
      <c r="B15" s="14">
        <v>1398350</v>
      </c>
      <c r="C15" s="297">
        <v>505215.45</v>
      </c>
      <c r="D15" s="297">
        <v>0</v>
      </c>
      <c r="E15" s="297">
        <v>0</v>
      </c>
      <c r="F15" s="14">
        <f t="shared" si="1"/>
        <v>0</v>
      </c>
      <c r="G15" s="251">
        <f t="shared" si="2"/>
        <v>505215.45</v>
      </c>
      <c r="H15" s="297">
        <v>505215.45</v>
      </c>
      <c r="I15" s="251">
        <v>0</v>
      </c>
      <c r="J15" s="251">
        <v>0</v>
      </c>
      <c r="K15" s="295">
        <f t="shared" si="3"/>
        <v>505215.45</v>
      </c>
      <c r="L15" s="15">
        <f t="shared" si="4"/>
        <v>0</v>
      </c>
      <c r="M15" s="296">
        <f t="shared" si="0"/>
        <v>0</v>
      </c>
      <c r="N15" s="281"/>
    </row>
    <row r="16" spans="1:16" x14ac:dyDescent="0.2">
      <c r="A16" s="139" t="s">
        <v>24</v>
      </c>
      <c r="B16" s="14">
        <v>14692367</v>
      </c>
      <c r="C16" s="297">
        <v>6638701.9299999997</v>
      </c>
      <c r="D16" s="297">
        <v>0.06</v>
      </c>
      <c r="E16" s="251">
        <v>5994785.25</v>
      </c>
      <c r="F16" s="14">
        <f t="shared" si="1"/>
        <v>0.90300563471750872</v>
      </c>
      <c r="G16" s="251">
        <f t="shared" si="2"/>
        <v>643916.73999999929</v>
      </c>
      <c r="H16" s="297">
        <v>1156197.74</v>
      </c>
      <c r="I16" s="251">
        <v>1000</v>
      </c>
      <c r="J16" s="251">
        <f>62458+450823</f>
        <v>513281</v>
      </c>
      <c r="K16" s="295">
        <f t="shared" si="3"/>
        <v>643916.74</v>
      </c>
      <c r="L16" s="15">
        <f t="shared" si="4"/>
        <v>0.90300563471750872</v>
      </c>
      <c r="M16" s="296">
        <f t="shared" si="0"/>
        <v>0</v>
      </c>
      <c r="N16" s="281"/>
      <c r="O16" s="151"/>
    </row>
    <row r="17" spans="1:18" x14ac:dyDescent="0.2">
      <c r="A17" s="139" t="s">
        <v>25</v>
      </c>
      <c r="B17" s="14">
        <v>1397810.64</v>
      </c>
      <c r="C17" s="297">
        <v>464907.03</v>
      </c>
      <c r="D17" s="297">
        <v>0.02</v>
      </c>
      <c r="E17" s="251">
        <v>226092.33</v>
      </c>
      <c r="F17" s="14">
        <f t="shared" si="1"/>
        <v>0.48631729660013956</v>
      </c>
      <c r="G17" s="251">
        <f t="shared" si="2"/>
        <v>238814.72000000006</v>
      </c>
      <c r="H17" s="297">
        <v>238814.72</v>
      </c>
      <c r="I17" s="251">
        <v>0</v>
      </c>
      <c r="J17" s="251">
        <v>0</v>
      </c>
      <c r="K17" s="295">
        <f t="shared" si="3"/>
        <v>238814.72</v>
      </c>
      <c r="L17" s="15">
        <f t="shared" si="4"/>
        <v>0.48631729660013956</v>
      </c>
      <c r="M17" s="277">
        <f t="shared" si="0"/>
        <v>0</v>
      </c>
      <c r="N17" s="281"/>
    </row>
    <row r="18" spans="1:18" x14ac:dyDescent="0.2">
      <c r="A18" s="139" t="s">
        <v>53</v>
      </c>
      <c r="B18" s="14">
        <v>887363.87</v>
      </c>
      <c r="C18" s="297">
        <v>46.93</v>
      </c>
      <c r="D18" s="297">
        <v>0</v>
      </c>
      <c r="E18" s="297">
        <v>0</v>
      </c>
      <c r="F18" s="14">
        <v>0</v>
      </c>
      <c r="G18" s="251">
        <f t="shared" si="2"/>
        <v>46.93</v>
      </c>
      <c r="H18" s="297">
        <v>5046.93</v>
      </c>
      <c r="I18" s="251">
        <v>0</v>
      </c>
      <c r="J18" s="251">
        <v>5000</v>
      </c>
      <c r="K18" s="295">
        <f t="shared" si="3"/>
        <v>46.930000000000291</v>
      </c>
      <c r="L18" s="15">
        <f t="shared" si="4"/>
        <v>0</v>
      </c>
      <c r="M18" s="277">
        <f t="shared" si="0"/>
        <v>2.9132252166164108E-13</v>
      </c>
      <c r="N18" s="281"/>
    </row>
    <row r="19" spans="1:18" x14ac:dyDescent="0.2">
      <c r="A19" s="139" t="s">
        <v>27</v>
      </c>
      <c r="B19" s="14">
        <f>+C19</f>
        <v>0</v>
      </c>
      <c r="C19" s="297">
        <v>0</v>
      </c>
      <c r="D19" s="297">
        <v>0</v>
      </c>
      <c r="E19" s="297">
        <v>0</v>
      </c>
      <c r="F19" s="14">
        <v>0</v>
      </c>
      <c r="G19" s="251">
        <f t="shared" si="2"/>
        <v>0</v>
      </c>
      <c r="H19" s="297">
        <v>0</v>
      </c>
      <c r="I19" s="251">
        <v>0</v>
      </c>
      <c r="J19" s="251">
        <v>0</v>
      </c>
      <c r="K19" s="295">
        <f t="shared" si="3"/>
        <v>0</v>
      </c>
      <c r="L19" s="15">
        <f t="shared" si="4"/>
        <v>0</v>
      </c>
      <c r="M19" s="277">
        <f t="shared" si="0"/>
        <v>0</v>
      </c>
      <c r="N19" s="282"/>
    </row>
    <row r="20" spans="1:18" x14ac:dyDescent="0.2">
      <c r="A20" s="139" t="s">
        <v>28</v>
      </c>
      <c r="B20" s="14">
        <v>55010.61</v>
      </c>
      <c r="C20" s="297">
        <v>22488.41</v>
      </c>
      <c r="D20" s="297">
        <v>0</v>
      </c>
      <c r="E20" s="297">
        <v>0</v>
      </c>
      <c r="F20" s="14">
        <v>0</v>
      </c>
      <c r="G20" s="251">
        <f t="shared" si="2"/>
        <v>22488.41</v>
      </c>
      <c r="H20" s="297">
        <v>22488.41</v>
      </c>
      <c r="I20" s="251">
        <v>0</v>
      </c>
      <c r="J20" s="251">
        <v>0</v>
      </c>
      <c r="K20" s="295">
        <f t="shared" si="3"/>
        <v>22488.41</v>
      </c>
      <c r="L20" s="15">
        <f t="shared" si="4"/>
        <v>0</v>
      </c>
      <c r="M20" s="277">
        <f t="shared" si="0"/>
        <v>0</v>
      </c>
      <c r="N20" s="270"/>
    </row>
    <row r="21" spans="1:18" ht="27" x14ac:dyDescent="0.2">
      <c r="A21" s="139" t="s">
        <v>136</v>
      </c>
      <c r="B21" s="14">
        <v>0</v>
      </c>
      <c r="C21" s="297">
        <v>2740680</v>
      </c>
      <c r="D21" s="297">
        <v>0</v>
      </c>
      <c r="E21" s="297">
        <v>0</v>
      </c>
      <c r="F21" s="14">
        <v>0</v>
      </c>
      <c r="G21" s="251">
        <f t="shared" si="2"/>
        <v>2740680</v>
      </c>
      <c r="H21" s="297">
        <v>2745680</v>
      </c>
      <c r="I21" s="251">
        <v>0</v>
      </c>
      <c r="J21" s="251">
        <v>5000</v>
      </c>
      <c r="K21" s="295">
        <f t="shared" si="3"/>
        <v>2740680</v>
      </c>
      <c r="L21" s="15">
        <f t="shared" si="4"/>
        <v>0</v>
      </c>
      <c r="M21" s="277">
        <f t="shared" si="0"/>
        <v>0</v>
      </c>
      <c r="N21" s="270"/>
    </row>
    <row r="22" spans="1:18" x14ac:dyDescent="0.2">
      <c r="A22" s="139" t="s">
        <v>29</v>
      </c>
      <c r="B22" s="14">
        <v>29358059</v>
      </c>
      <c r="C22" s="297">
        <v>16277542</v>
      </c>
      <c r="D22" s="297">
        <v>0</v>
      </c>
      <c r="E22" s="297">
        <v>0</v>
      </c>
      <c r="F22" s="14">
        <f>+E22/C22</f>
        <v>0</v>
      </c>
      <c r="G22" s="251">
        <f t="shared" si="2"/>
        <v>16277542</v>
      </c>
      <c r="H22" s="297">
        <f>6951799.22+9325742.78</f>
        <v>16277542</v>
      </c>
      <c r="I22" s="251">
        <v>0</v>
      </c>
      <c r="J22" s="251">
        <v>0</v>
      </c>
      <c r="K22" s="295">
        <f>H22+I22-J22</f>
        <v>16277542</v>
      </c>
      <c r="L22" s="15">
        <f t="shared" si="4"/>
        <v>0</v>
      </c>
      <c r="M22" s="277">
        <f t="shared" si="0"/>
        <v>0</v>
      </c>
      <c r="N22" s="270"/>
    </row>
    <row r="23" spans="1:18" x14ac:dyDescent="0.2">
      <c r="A23" s="139" t="s">
        <v>30</v>
      </c>
      <c r="B23" s="14">
        <v>22883119</v>
      </c>
      <c r="C23" s="297">
        <v>10899612.539999999</v>
      </c>
      <c r="D23" s="297">
        <v>0</v>
      </c>
      <c r="E23" s="251">
        <v>9799920.6600000001</v>
      </c>
      <c r="F23" s="14">
        <f>+E23/C23</f>
        <v>0.89910725028396299</v>
      </c>
      <c r="G23" s="251">
        <f t="shared" si="2"/>
        <v>1099691.879999999</v>
      </c>
      <c r="H23" s="297">
        <v>1902507.97</v>
      </c>
      <c r="I23" s="251">
        <f>1200.6+1500</f>
        <v>2700.6</v>
      </c>
      <c r="J23" s="251">
        <f>786123.69+19393</f>
        <v>805516.69</v>
      </c>
      <c r="K23" s="295">
        <f>H23+I23-J23</f>
        <v>1099691.8800000001</v>
      </c>
      <c r="L23" s="15">
        <f t="shared" si="4"/>
        <v>0.89910725028396299</v>
      </c>
      <c r="M23" s="277">
        <f t="shared" si="0"/>
        <v>0</v>
      </c>
      <c r="N23" s="283"/>
      <c r="Q23" s="141"/>
      <c r="R23" s="144"/>
    </row>
    <row r="24" spans="1:18" s="5" customFormat="1" x14ac:dyDescent="0.2">
      <c r="A24" s="248" t="s">
        <v>144</v>
      </c>
      <c r="B24" s="21">
        <f t="shared" ref="B24:K24" si="5">SUM(B11:B23)</f>
        <v>114771043.23999999</v>
      </c>
      <c r="C24" s="21">
        <f t="shared" si="5"/>
        <v>55336214.270000003</v>
      </c>
      <c r="D24" s="21">
        <f t="shared" si="5"/>
        <v>1956.7399999999998</v>
      </c>
      <c r="E24" s="21">
        <f t="shared" si="5"/>
        <v>32145650.34</v>
      </c>
      <c r="F24" s="249">
        <f t="shared" si="5"/>
        <v>4.3665832898069743</v>
      </c>
      <c r="G24" s="249">
        <f t="shared" si="5"/>
        <v>23192520.669999998</v>
      </c>
      <c r="H24" s="249">
        <f t="shared" si="5"/>
        <v>23932708.759999998</v>
      </c>
      <c r="I24" s="249">
        <f t="shared" si="5"/>
        <v>793121.6</v>
      </c>
      <c r="J24" s="249">
        <f t="shared" si="5"/>
        <v>1533309.69</v>
      </c>
      <c r="K24" s="249">
        <f t="shared" si="5"/>
        <v>23192520.669999998</v>
      </c>
      <c r="L24" s="252"/>
      <c r="M24" s="118">
        <f>SUM(M11:M23)</f>
        <v>1.1644445407910098E-9</v>
      </c>
      <c r="N24" s="203"/>
      <c r="O24" s="143"/>
      <c r="P24" s="143"/>
    </row>
    <row r="25" spans="1:18" s="17" customFormat="1" x14ac:dyDescent="0.25">
      <c r="A25" s="139" t="s">
        <v>18</v>
      </c>
      <c r="B25" s="14">
        <f>10999097.88+238908.65</f>
        <v>11238006.530000001</v>
      </c>
      <c r="C25" s="14">
        <f>10999097.88+238908.65</f>
        <v>11238006.530000001</v>
      </c>
      <c r="D25" s="11">
        <v>0</v>
      </c>
      <c r="E25" s="14">
        <v>11056143.380000001</v>
      </c>
      <c r="F25" s="14">
        <f>+E25/C25</f>
        <v>0.98381713433654672</v>
      </c>
      <c r="G25" s="251">
        <f>+C25+D25-E25</f>
        <v>181863.15000000037</v>
      </c>
      <c r="H25" s="11">
        <f>178606.93+5000</f>
        <v>183606.93</v>
      </c>
      <c r="I25" s="14">
        <f>127254.42+10000</f>
        <v>137254.41999999998</v>
      </c>
      <c r="J25" s="14">
        <f>21634+117364.2</f>
        <v>138998.20000000001</v>
      </c>
      <c r="K25" s="14">
        <f>H25+I25-J25</f>
        <v>181863.14999999997</v>
      </c>
      <c r="L25" s="15">
        <f>+F25</f>
        <v>0.98381713433654672</v>
      </c>
      <c r="M25" s="62">
        <f t="shared" ref="M25:M40" si="6">+K25-G25</f>
        <v>-4.0745362639427185E-10</v>
      </c>
      <c r="N25" s="278"/>
      <c r="O25" s="153"/>
      <c r="P25" s="142"/>
    </row>
    <row r="26" spans="1:18" x14ac:dyDescent="0.2">
      <c r="A26" s="139" t="s">
        <v>20</v>
      </c>
      <c r="B26" s="11">
        <v>32201284.170000002</v>
      </c>
      <c r="C26" s="11">
        <v>32201284.170000002</v>
      </c>
      <c r="D26" s="11">
        <v>0</v>
      </c>
      <c r="E26" s="14">
        <v>32201284.170000002</v>
      </c>
      <c r="F26" s="14">
        <f t="shared" ref="F26:F31" si="7">+E26/C26</f>
        <v>1</v>
      </c>
      <c r="G26" s="251">
        <f t="shared" ref="G26:G40" si="8">+C26+D26-E26</f>
        <v>0</v>
      </c>
      <c r="H26" s="11">
        <f>0+1626333.07</f>
        <v>1626333.07</v>
      </c>
      <c r="I26" s="14">
        <f>50868+4200</f>
        <v>55068</v>
      </c>
      <c r="J26" s="14">
        <f>1441899+62764+176738.07</f>
        <v>1681401.07</v>
      </c>
      <c r="K26" s="14">
        <f t="shared" ref="K26:K35" si="9">H26+I26-J26</f>
        <v>0</v>
      </c>
      <c r="L26" s="15">
        <f t="shared" ref="L26:L37" si="10">+F26</f>
        <v>1</v>
      </c>
      <c r="M26" s="250">
        <f t="shared" si="6"/>
        <v>0</v>
      </c>
      <c r="N26" s="279"/>
      <c r="O26" s="151"/>
    </row>
    <row r="27" spans="1:18" x14ac:dyDescent="0.2">
      <c r="A27" s="139" t="s">
        <v>21</v>
      </c>
      <c r="B27" s="11">
        <v>375916.69</v>
      </c>
      <c r="C27" s="11">
        <v>375916.69</v>
      </c>
      <c r="D27" s="11">
        <v>0</v>
      </c>
      <c r="E27" s="11">
        <v>364122.38</v>
      </c>
      <c r="F27" s="14">
        <f t="shared" si="7"/>
        <v>0.9686252025681541</v>
      </c>
      <c r="G27" s="251">
        <f t="shared" si="8"/>
        <v>11794.309999999998</v>
      </c>
      <c r="H27" s="11">
        <v>11794.31</v>
      </c>
      <c r="I27" s="14">
        <v>0</v>
      </c>
      <c r="J27" s="14">
        <v>0</v>
      </c>
      <c r="K27" s="14">
        <f t="shared" si="9"/>
        <v>11794.31</v>
      </c>
      <c r="L27" s="15">
        <f t="shared" si="10"/>
        <v>0.9686252025681541</v>
      </c>
      <c r="M27" s="236">
        <f t="shared" si="6"/>
        <v>0</v>
      </c>
      <c r="N27" s="280"/>
    </row>
    <row r="28" spans="1:18" x14ac:dyDescent="0.2">
      <c r="A28" s="139" t="s">
        <v>22</v>
      </c>
      <c r="B28" s="11">
        <v>553292.86</v>
      </c>
      <c r="C28" s="11">
        <v>553292.86</v>
      </c>
      <c r="D28" s="11">
        <v>0</v>
      </c>
      <c r="E28" s="11">
        <v>549193.92000000004</v>
      </c>
      <c r="F28" s="14">
        <f t="shared" si="7"/>
        <v>0.99259173523403155</v>
      </c>
      <c r="G28" s="251">
        <f t="shared" si="8"/>
        <v>4098.9399999999441</v>
      </c>
      <c r="H28" s="11">
        <v>4098.9399999999996</v>
      </c>
      <c r="I28" s="14">
        <v>0</v>
      </c>
      <c r="J28" s="14">
        <v>0</v>
      </c>
      <c r="K28" s="14">
        <f t="shared" si="9"/>
        <v>4098.9399999999996</v>
      </c>
      <c r="L28" s="15">
        <f t="shared" si="10"/>
        <v>0.99259173523403155</v>
      </c>
      <c r="M28" s="236">
        <f t="shared" si="6"/>
        <v>5.5479176808148623E-11</v>
      </c>
      <c r="N28" s="280"/>
    </row>
    <row r="29" spans="1:18" x14ac:dyDescent="0.2">
      <c r="A29" s="139" t="s">
        <v>23</v>
      </c>
      <c r="B29" s="11">
        <v>1287364.3999999999</v>
      </c>
      <c r="C29" s="11">
        <v>1287364.3999999999</v>
      </c>
      <c r="D29" s="11">
        <v>0</v>
      </c>
      <c r="E29" s="11">
        <v>1286941.03</v>
      </c>
      <c r="F29" s="14">
        <f t="shared" si="7"/>
        <v>0.99967113429577525</v>
      </c>
      <c r="G29" s="251">
        <f t="shared" si="8"/>
        <v>423.36999999987893</v>
      </c>
      <c r="H29" s="11">
        <v>423.37</v>
      </c>
      <c r="I29" s="14">
        <v>0</v>
      </c>
      <c r="J29" s="14">
        <v>0</v>
      </c>
      <c r="K29" s="14">
        <f t="shared" si="9"/>
        <v>423.37</v>
      </c>
      <c r="L29" s="15">
        <f t="shared" si="10"/>
        <v>0.99967113429577525</v>
      </c>
      <c r="M29" s="236">
        <f t="shared" si="6"/>
        <v>1.2107648217352107E-10</v>
      </c>
      <c r="N29" s="281"/>
    </row>
    <row r="30" spans="1:18" x14ac:dyDescent="0.2">
      <c r="A30" s="139" t="s">
        <v>24</v>
      </c>
      <c r="B30" s="11">
        <v>15340178.58</v>
      </c>
      <c r="C30" s="11">
        <v>15340178.58</v>
      </c>
      <c r="D30" s="11">
        <v>0</v>
      </c>
      <c r="E30" s="14">
        <f>15320249.52</f>
        <v>15320249.52</v>
      </c>
      <c r="F30" s="14">
        <f t="shared" si="7"/>
        <v>0.99870085867018632</v>
      </c>
      <c r="G30" s="251">
        <f t="shared" si="8"/>
        <v>19929.060000000522</v>
      </c>
      <c r="H30" s="11">
        <v>501651.06</v>
      </c>
      <c r="I30" s="14">
        <v>0</v>
      </c>
      <c r="J30" s="14">
        <f>419314+2000+60408</f>
        <v>481722</v>
      </c>
      <c r="K30" s="14">
        <f t="shared" si="9"/>
        <v>19929.059999999998</v>
      </c>
      <c r="L30" s="15">
        <f t="shared" si="10"/>
        <v>0.99870085867018632</v>
      </c>
      <c r="M30" s="62">
        <f t="shared" si="6"/>
        <v>-5.2386894822120667E-10</v>
      </c>
      <c r="N30" s="281"/>
      <c r="O30" s="151"/>
    </row>
    <row r="31" spans="1:18" x14ac:dyDescent="0.2">
      <c r="A31" s="139" t="s">
        <v>25</v>
      </c>
      <c r="B31" s="11">
        <v>1461552.81</v>
      </c>
      <c r="C31" s="11">
        <v>1461552.81</v>
      </c>
      <c r="D31" s="11">
        <v>0</v>
      </c>
      <c r="E31" s="14">
        <v>1315379.46</v>
      </c>
      <c r="F31" s="14">
        <f t="shared" si="7"/>
        <v>0.89998763712137086</v>
      </c>
      <c r="G31" s="251">
        <f t="shared" si="8"/>
        <v>146173.35000000009</v>
      </c>
      <c r="H31" s="11">
        <v>146173.35</v>
      </c>
      <c r="I31" s="14">
        <v>0</v>
      </c>
      <c r="J31" s="14">
        <v>0</v>
      </c>
      <c r="K31" s="14">
        <f t="shared" si="9"/>
        <v>146173.35</v>
      </c>
      <c r="L31" s="15">
        <f t="shared" si="10"/>
        <v>0.89998763712137086</v>
      </c>
      <c r="M31" s="236">
        <f t="shared" si="6"/>
        <v>0</v>
      </c>
      <c r="N31" s="281"/>
    </row>
    <row r="32" spans="1:18" x14ac:dyDescent="0.2">
      <c r="A32" s="139" t="s">
        <v>53</v>
      </c>
      <c r="B32" s="11">
        <v>888239.11</v>
      </c>
      <c r="C32" s="11">
        <v>888239.11</v>
      </c>
      <c r="D32" s="11">
        <v>0</v>
      </c>
      <c r="E32" s="11">
        <v>651043.92000000004</v>
      </c>
      <c r="F32" s="14">
        <v>0</v>
      </c>
      <c r="G32" s="251">
        <f t="shared" si="8"/>
        <v>237195.18999999994</v>
      </c>
      <c r="H32" s="11">
        <v>237195.19</v>
      </c>
      <c r="I32" s="14">
        <v>0</v>
      </c>
      <c r="J32" s="14">
        <v>0</v>
      </c>
      <c r="K32" s="14">
        <f t="shared" si="9"/>
        <v>237195.19</v>
      </c>
      <c r="L32" s="15">
        <f t="shared" si="10"/>
        <v>0</v>
      </c>
      <c r="M32" s="236">
        <f t="shared" si="6"/>
        <v>0</v>
      </c>
      <c r="N32" s="281"/>
    </row>
    <row r="33" spans="1:18" x14ac:dyDescent="0.2">
      <c r="A33" s="139" t="s">
        <v>27</v>
      </c>
      <c r="B33" s="11">
        <v>0</v>
      </c>
      <c r="C33" s="11">
        <v>0</v>
      </c>
      <c r="D33" s="11">
        <v>0</v>
      </c>
      <c r="E33" s="11">
        <v>0</v>
      </c>
      <c r="F33" s="14">
        <v>0</v>
      </c>
      <c r="G33" s="251">
        <f t="shared" si="8"/>
        <v>0</v>
      </c>
      <c r="H33" s="11">
        <v>0</v>
      </c>
      <c r="I33" s="14">
        <v>0</v>
      </c>
      <c r="J33" s="14">
        <v>0</v>
      </c>
      <c r="K33" s="14">
        <f t="shared" si="9"/>
        <v>0</v>
      </c>
      <c r="L33" s="15">
        <f t="shared" si="10"/>
        <v>0</v>
      </c>
      <c r="M33" s="236">
        <f t="shared" si="6"/>
        <v>0</v>
      </c>
      <c r="N33" s="281"/>
    </row>
    <row r="34" spans="1:18" x14ac:dyDescent="0.2">
      <c r="A34" s="139" t="s">
        <v>28</v>
      </c>
      <c r="B34" s="11">
        <v>60034.41</v>
      </c>
      <c r="C34" s="11">
        <v>60034.41</v>
      </c>
      <c r="D34" s="11">
        <v>0</v>
      </c>
      <c r="E34" s="11">
        <v>36692.129999999997</v>
      </c>
      <c r="F34" s="14">
        <v>0</v>
      </c>
      <c r="G34" s="251">
        <f t="shared" si="8"/>
        <v>23342.280000000006</v>
      </c>
      <c r="H34" s="11">
        <v>23342.28</v>
      </c>
      <c r="I34" s="14">
        <v>0</v>
      </c>
      <c r="J34" s="14">
        <v>0</v>
      </c>
      <c r="K34" s="14">
        <f t="shared" si="9"/>
        <v>23342.28</v>
      </c>
      <c r="L34" s="15">
        <f t="shared" si="10"/>
        <v>0</v>
      </c>
      <c r="M34" s="236">
        <f t="shared" si="6"/>
        <v>0</v>
      </c>
      <c r="N34" s="270"/>
    </row>
    <row r="35" spans="1:18" ht="27" x14ac:dyDescent="0.2">
      <c r="A35" s="139" t="s">
        <v>136</v>
      </c>
      <c r="B35" s="11">
        <v>2201262.25</v>
      </c>
      <c r="C35" s="11">
        <v>2201262.25</v>
      </c>
      <c r="D35" s="11">
        <v>818.27</v>
      </c>
      <c r="E35" s="11">
        <v>2193712.5099999998</v>
      </c>
      <c r="F35" s="14"/>
      <c r="G35" s="251">
        <f t="shared" si="8"/>
        <v>8368.0100000002421</v>
      </c>
      <c r="H35" s="11">
        <v>8368.01</v>
      </c>
      <c r="I35" s="14">
        <v>0</v>
      </c>
      <c r="J35" s="14">
        <v>0</v>
      </c>
      <c r="K35" s="14">
        <f t="shared" si="9"/>
        <v>8368.01</v>
      </c>
      <c r="L35" s="15">
        <f t="shared" si="10"/>
        <v>0</v>
      </c>
      <c r="M35" s="236">
        <f t="shared" si="6"/>
        <v>-2.4192559067159891E-10</v>
      </c>
      <c r="N35" s="270"/>
    </row>
    <row r="36" spans="1:18" x14ac:dyDescent="0.2">
      <c r="A36" s="139" t="s">
        <v>29</v>
      </c>
      <c r="B36" s="11">
        <v>29358891.780000001</v>
      </c>
      <c r="C36" s="11">
        <v>29358891.780000001</v>
      </c>
      <c r="D36" s="11">
        <v>644200.78</v>
      </c>
      <c r="E36" s="11">
        <v>29358059.32</v>
      </c>
      <c r="F36" s="14">
        <f>+E36/C36</f>
        <v>0.99997164538749495</v>
      </c>
      <c r="G36" s="251">
        <f t="shared" si="8"/>
        <v>645033.24000000209</v>
      </c>
      <c r="H36" s="11">
        <f>27044389.8+0</f>
        <v>27044389.800000001</v>
      </c>
      <c r="I36" s="14">
        <v>2958702.76</v>
      </c>
      <c r="J36" s="14">
        <v>29358059.32</v>
      </c>
      <c r="K36" s="14">
        <f>H36+I36-J36</f>
        <v>645033.24000000209</v>
      </c>
      <c r="L36" s="15">
        <f t="shared" si="10"/>
        <v>0.99997164538749495</v>
      </c>
      <c r="M36" s="236">
        <f t="shared" si="6"/>
        <v>0</v>
      </c>
      <c r="N36" s="270"/>
    </row>
    <row r="37" spans="1:18" x14ac:dyDescent="0.2">
      <c r="A37" s="139" t="s">
        <v>30</v>
      </c>
      <c r="B37" s="11">
        <v>23067538.390000001</v>
      </c>
      <c r="C37" s="11">
        <v>23067538.390000001</v>
      </c>
      <c r="D37" s="11">
        <v>0</v>
      </c>
      <c r="E37" s="14">
        <f>23067538.39-13458.57</f>
        <v>23054079.82</v>
      </c>
      <c r="F37" s="14">
        <f>+E37/C37</f>
        <v>0.99941655803179086</v>
      </c>
      <c r="G37" s="251">
        <f t="shared" si="8"/>
        <v>13458.570000000298</v>
      </c>
      <c r="H37" s="11">
        <v>374090.59</v>
      </c>
      <c r="I37" s="14">
        <f>713.4+45970</f>
        <v>46683.4</v>
      </c>
      <c r="J37" s="14">
        <f>275061+132254.42</f>
        <v>407315.42000000004</v>
      </c>
      <c r="K37" s="14">
        <f>H37+I37-J37</f>
        <v>13458.570000000007</v>
      </c>
      <c r="L37" s="15">
        <f t="shared" si="10"/>
        <v>0.99941655803179086</v>
      </c>
      <c r="M37" s="107">
        <f t="shared" si="6"/>
        <v>-2.9103830456733704E-10</v>
      </c>
      <c r="N37" s="284" t="s">
        <v>52</v>
      </c>
      <c r="Q37" s="141"/>
      <c r="R37" s="144"/>
    </row>
    <row r="38" spans="1:18" x14ac:dyDescent="0.2">
      <c r="A38" s="139" t="s">
        <v>57</v>
      </c>
      <c r="B38" s="11">
        <v>1483495.05</v>
      </c>
      <c r="C38" s="11">
        <v>1483495.05</v>
      </c>
      <c r="D38" s="11">
        <v>4256.42</v>
      </c>
      <c r="E38" s="14">
        <v>1461506.21</v>
      </c>
      <c r="F38" s="14">
        <f>+E38/C38</f>
        <v>0.98517767888743535</v>
      </c>
      <c r="G38" s="251">
        <f t="shared" si="8"/>
        <v>26245.260000000009</v>
      </c>
      <c r="H38" s="11">
        <v>26245.26</v>
      </c>
      <c r="I38" s="14">
        <v>0</v>
      </c>
      <c r="J38" s="14">
        <v>0</v>
      </c>
      <c r="K38" s="14">
        <f>H38+I38-J38</f>
        <v>26245.26</v>
      </c>
      <c r="L38" s="15">
        <f>+F38</f>
        <v>0.98517767888743535</v>
      </c>
      <c r="M38" s="107">
        <f t="shared" si="6"/>
        <v>0</v>
      </c>
      <c r="N38" s="284"/>
      <c r="Q38" s="141"/>
      <c r="R38" s="144"/>
    </row>
    <row r="39" spans="1:18" x14ac:dyDescent="0.2">
      <c r="A39" s="139" t="s">
        <v>139</v>
      </c>
      <c r="B39" s="14">
        <v>1364024.1</v>
      </c>
      <c r="C39" s="14">
        <v>1364024.1</v>
      </c>
      <c r="D39" s="11">
        <f>940.83+935.1+658.75</f>
        <v>2534.6800000000003</v>
      </c>
      <c r="E39" s="14">
        <v>1364018.1</v>
      </c>
      <c r="F39" s="14">
        <f>+E39/C39</f>
        <v>0.99999560125074038</v>
      </c>
      <c r="G39" s="251">
        <f t="shared" si="8"/>
        <v>2540.6799999999348</v>
      </c>
      <c r="H39" s="11">
        <v>957353.35</v>
      </c>
      <c r="I39" s="14">
        <v>409205.43</v>
      </c>
      <c r="J39" s="14">
        <v>1364018.1</v>
      </c>
      <c r="K39" s="14">
        <f>H39+I39-J39</f>
        <v>2540.6799999999348</v>
      </c>
      <c r="L39" s="15">
        <f>+F39</f>
        <v>0.99999560125074038</v>
      </c>
      <c r="M39" s="107">
        <f t="shared" si="6"/>
        <v>0</v>
      </c>
      <c r="N39" s="284"/>
      <c r="Q39" s="141"/>
      <c r="R39" s="144"/>
    </row>
    <row r="40" spans="1:18" ht="40.5" x14ac:dyDescent="0.2">
      <c r="A40" s="139" t="s">
        <v>135</v>
      </c>
      <c r="B40" s="11">
        <v>199999.99</v>
      </c>
      <c r="C40" s="11">
        <v>199999.99</v>
      </c>
      <c r="D40" s="11">
        <f>113.52+264.05+123.8+26.23</f>
        <v>527.6</v>
      </c>
      <c r="E40" s="14">
        <v>199730.99</v>
      </c>
      <c r="F40" s="14">
        <f>+E40/C40</f>
        <v>0.99865499993274998</v>
      </c>
      <c r="G40" s="251">
        <f t="shared" si="8"/>
        <v>796.60000000000582</v>
      </c>
      <c r="H40" s="11">
        <v>683.08</v>
      </c>
      <c r="I40" s="14">
        <f>180000+5000</f>
        <v>185000</v>
      </c>
      <c r="J40" s="14">
        <f>102106.79+5000+77779.69</f>
        <v>184886.47999999998</v>
      </c>
      <c r="K40" s="14">
        <f>H40+I40-J40</f>
        <v>796.60000000000582</v>
      </c>
      <c r="L40" s="15">
        <f>+F40</f>
        <v>0.99865499993274998</v>
      </c>
      <c r="M40" s="107">
        <f t="shared" si="6"/>
        <v>0</v>
      </c>
      <c r="N40" s="284"/>
      <c r="Q40" s="141"/>
      <c r="R40" s="144"/>
    </row>
    <row r="41" spans="1:18" s="5" customFormat="1" x14ac:dyDescent="0.2">
      <c r="A41" s="248" t="s">
        <v>60</v>
      </c>
      <c r="B41" s="21">
        <f t="shared" ref="B41:K41" si="11">SUM(B25:B40)</f>
        <v>121081081.11999999</v>
      </c>
      <c r="C41" s="21">
        <f t="shared" si="11"/>
        <v>121081081.11999999</v>
      </c>
      <c r="D41" s="21">
        <f t="shared" si="11"/>
        <v>652337.75000000012</v>
      </c>
      <c r="E41" s="21">
        <f t="shared" si="11"/>
        <v>120412156.85999998</v>
      </c>
      <c r="F41" s="249">
        <f t="shared" si="11"/>
        <v>11.826610185716277</v>
      </c>
      <c r="G41" s="249">
        <f t="shared" si="11"/>
        <v>1321262.0100000035</v>
      </c>
      <c r="H41" s="249">
        <f t="shared" si="11"/>
        <v>31145748.590000004</v>
      </c>
      <c r="I41" s="249">
        <f t="shared" si="11"/>
        <v>3791914.01</v>
      </c>
      <c r="J41" s="249">
        <f t="shared" si="11"/>
        <v>33616400.590000004</v>
      </c>
      <c r="K41" s="249">
        <f t="shared" si="11"/>
        <v>1321262.0100000021</v>
      </c>
      <c r="L41" s="252"/>
      <c r="M41" s="118">
        <f>SUM(M25:M40)</f>
        <v>-1.2877308108727448E-9</v>
      </c>
      <c r="N41" s="203"/>
      <c r="O41" s="143"/>
      <c r="P41" s="143"/>
    </row>
    <row r="42" spans="1:18" s="17" customFormat="1" x14ac:dyDescent="0.25">
      <c r="A42" s="139" t="s">
        <v>18</v>
      </c>
      <c r="B42" s="10">
        <v>9668787.5</v>
      </c>
      <c r="C42" s="10">
        <f>+B42-8808992.11</f>
        <v>859795.3900000006</v>
      </c>
      <c r="D42" s="11">
        <v>0</v>
      </c>
      <c r="E42" s="10">
        <v>126202.22</v>
      </c>
      <c r="F42" s="12">
        <f>+E42/C42</f>
        <v>0.14678168953662327</v>
      </c>
      <c r="G42" s="109">
        <f t="shared" ref="G42:G55" si="12">+C42+D42-E42</f>
        <v>733593.17000000062</v>
      </c>
      <c r="H42" s="11">
        <v>760336.44</v>
      </c>
      <c r="I42" s="14">
        <f>35750.7+49054.32+10000+17400</f>
        <v>112205.01999999999</v>
      </c>
      <c r="J42" s="14">
        <f>42293+3275.91+3277.52+90101.86</f>
        <v>138948.29</v>
      </c>
      <c r="K42" s="14">
        <f>H42+I42-J42</f>
        <v>733593.16999999993</v>
      </c>
      <c r="L42" s="15">
        <f>+F42</f>
        <v>0.14678168953662327</v>
      </c>
      <c r="M42" s="62">
        <f t="shared" ref="M42:M55" si="13">+K42-G42</f>
        <v>0</v>
      </c>
      <c r="N42" s="271"/>
      <c r="O42" s="153"/>
      <c r="P42" s="142"/>
    </row>
    <row r="43" spans="1:18" x14ac:dyDescent="0.2">
      <c r="A43" s="262" t="s">
        <v>20</v>
      </c>
      <c r="B43" s="109">
        <v>27138333.23</v>
      </c>
      <c r="C43" s="109">
        <v>27138333.23</v>
      </c>
      <c r="D43" s="261">
        <v>0</v>
      </c>
      <c r="E43" s="109">
        <f>26415966.23+831927-8117.68</f>
        <v>27239775.550000001</v>
      </c>
      <c r="F43" s="263">
        <f t="shared" ref="F43:F48" si="14">+E43/C43</f>
        <v>1.003737971641083</v>
      </c>
      <c r="G43" s="109">
        <f t="shared" si="12"/>
        <v>-101442.3200000003</v>
      </c>
      <c r="H43" s="264">
        <v>391978.01</v>
      </c>
      <c r="I43" s="201">
        <v>37944</v>
      </c>
      <c r="J43" s="201">
        <f>326678+16708.93+21550.06+166427.34</f>
        <v>531364.32999999996</v>
      </c>
      <c r="K43" s="201">
        <f t="shared" ref="K43:K50" si="15">H43+I43-J43</f>
        <v>-101442.31999999995</v>
      </c>
      <c r="L43" s="265">
        <f t="shared" ref="L43:L55" si="16">+F43</f>
        <v>1.003737971641083</v>
      </c>
      <c r="M43" s="62">
        <f t="shared" si="13"/>
        <v>3.4924596548080444E-10</v>
      </c>
      <c r="N43" s="272"/>
      <c r="O43" s="151"/>
    </row>
    <row r="44" spans="1:18" x14ac:dyDescent="0.2">
      <c r="A44" s="139" t="s">
        <v>21</v>
      </c>
      <c r="B44" s="10">
        <v>321506.03999999998</v>
      </c>
      <c r="C44" s="10">
        <f>+B44-280892.37</f>
        <v>40613.669999999984</v>
      </c>
      <c r="D44" s="11">
        <v>0</v>
      </c>
      <c r="E44" s="11">
        <v>40613.67</v>
      </c>
      <c r="F44" s="12">
        <f t="shared" si="14"/>
        <v>1.0000000000000004</v>
      </c>
      <c r="G44" s="109">
        <f t="shared" si="12"/>
        <v>0</v>
      </c>
      <c r="H44" s="13">
        <v>0</v>
      </c>
      <c r="I44" s="14">
        <v>0</v>
      </c>
      <c r="J44" s="14">
        <v>0</v>
      </c>
      <c r="K44" s="14">
        <f t="shared" si="15"/>
        <v>0</v>
      </c>
      <c r="L44" s="15">
        <f t="shared" si="16"/>
        <v>1.0000000000000004</v>
      </c>
      <c r="M44" s="62">
        <f t="shared" si="13"/>
        <v>0</v>
      </c>
    </row>
    <row r="45" spans="1:18" x14ac:dyDescent="0.2">
      <c r="A45" s="139" t="s">
        <v>22</v>
      </c>
      <c r="B45" s="10">
        <v>570803.89</v>
      </c>
      <c r="C45" s="10">
        <f>+B45-491970.23</f>
        <v>78833.660000000033</v>
      </c>
      <c r="D45" s="11">
        <v>0</v>
      </c>
      <c r="E45" s="11">
        <v>78833.66</v>
      </c>
      <c r="F45" s="12">
        <f t="shared" si="14"/>
        <v>0.99999999999999967</v>
      </c>
      <c r="G45" s="109">
        <f t="shared" si="12"/>
        <v>0</v>
      </c>
      <c r="H45" s="13">
        <v>0</v>
      </c>
      <c r="I45" s="14">
        <v>0</v>
      </c>
      <c r="J45" s="14">
        <v>0</v>
      </c>
      <c r="K45" s="14">
        <f t="shared" si="15"/>
        <v>0</v>
      </c>
      <c r="L45" s="15">
        <f t="shared" si="16"/>
        <v>0.99999999999999967</v>
      </c>
      <c r="M45" s="62">
        <f t="shared" si="13"/>
        <v>0</v>
      </c>
    </row>
    <row r="46" spans="1:18" x14ac:dyDescent="0.2">
      <c r="A46" s="139" t="s">
        <v>23</v>
      </c>
      <c r="B46" s="10">
        <v>1307693.44</v>
      </c>
      <c r="C46" s="10">
        <f>+B46-1273287.15</f>
        <v>34406.290000000037</v>
      </c>
      <c r="D46" s="11">
        <v>0</v>
      </c>
      <c r="E46" s="11">
        <v>34406.29</v>
      </c>
      <c r="F46" s="12">
        <f t="shared" si="14"/>
        <v>0.99999999999999889</v>
      </c>
      <c r="G46" s="109">
        <f t="shared" si="12"/>
        <v>0</v>
      </c>
      <c r="H46" s="13">
        <v>0</v>
      </c>
      <c r="I46" s="14">
        <v>0</v>
      </c>
      <c r="J46" s="14">
        <v>0</v>
      </c>
      <c r="K46" s="14">
        <f t="shared" si="15"/>
        <v>0</v>
      </c>
      <c r="L46" s="15">
        <f t="shared" si="16"/>
        <v>0.99999999999999889</v>
      </c>
      <c r="M46" s="62">
        <f t="shared" si="13"/>
        <v>0</v>
      </c>
    </row>
    <row r="47" spans="1:18" x14ac:dyDescent="0.2">
      <c r="A47" s="139" t="s">
        <v>24</v>
      </c>
      <c r="B47" s="10">
        <v>14234360.859999999</v>
      </c>
      <c r="C47" s="10">
        <f>+B47-14197791.76</f>
        <v>36569.099999999627</v>
      </c>
      <c r="D47" s="11">
        <v>0</v>
      </c>
      <c r="E47" s="10">
        <v>208.8</v>
      </c>
      <c r="F47" s="12">
        <f t="shared" si="14"/>
        <v>5.7097385497592813E-3</v>
      </c>
      <c r="G47" s="109">
        <f t="shared" si="12"/>
        <v>36360.299999999625</v>
      </c>
      <c r="H47" s="13">
        <v>-340080.7</v>
      </c>
      <c r="I47" s="14">
        <v>782752</v>
      </c>
      <c r="J47" s="14">
        <f>280823+125488</f>
        <v>406311</v>
      </c>
      <c r="K47" s="14">
        <f t="shared" si="15"/>
        <v>36360.299999999988</v>
      </c>
      <c r="L47" s="15">
        <f t="shared" si="16"/>
        <v>5.7097385497592813E-3</v>
      </c>
      <c r="M47" s="62">
        <f t="shared" si="13"/>
        <v>3.637978807091713E-10</v>
      </c>
      <c r="O47" s="151"/>
    </row>
    <row r="48" spans="1:18" x14ac:dyDescent="0.2">
      <c r="A48" s="139" t="s">
        <v>25</v>
      </c>
      <c r="B48" s="10">
        <v>658261.61</v>
      </c>
      <c r="C48" s="10">
        <f>+B48-367499.68</f>
        <v>290761.93</v>
      </c>
      <c r="D48" s="11">
        <v>0</v>
      </c>
      <c r="E48" s="10">
        <v>281389.86</v>
      </c>
      <c r="F48" s="12">
        <f t="shared" si="14"/>
        <v>0.96776720391146109</v>
      </c>
      <c r="G48" s="109">
        <f t="shared" si="12"/>
        <v>9372.070000000007</v>
      </c>
      <c r="H48" s="13">
        <v>56340.94</v>
      </c>
      <c r="I48" s="14">
        <v>0</v>
      </c>
      <c r="J48" s="14">
        <v>46968.87</v>
      </c>
      <c r="K48" s="14">
        <f t="shared" si="15"/>
        <v>9372.07</v>
      </c>
      <c r="L48" s="15">
        <f t="shared" si="16"/>
        <v>0.96776720391146109</v>
      </c>
      <c r="M48" s="62">
        <f t="shared" si="13"/>
        <v>0</v>
      </c>
    </row>
    <row r="49" spans="1:18" x14ac:dyDescent="0.2">
      <c r="A49" s="139" t="s">
        <v>53</v>
      </c>
      <c r="B49" s="10">
        <v>158979.12</v>
      </c>
      <c r="C49" s="10">
        <f>+B49</f>
        <v>158979.12</v>
      </c>
      <c r="D49" s="11">
        <v>0</v>
      </c>
      <c r="E49" s="11">
        <v>120000</v>
      </c>
      <c r="F49" s="12">
        <v>0</v>
      </c>
      <c r="G49" s="201">
        <f t="shared" si="12"/>
        <v>38979.119999999995</v>
      </c>
      <c r="H49" s="11">
        <v>43979.12</v>
      </c>
      <c r="I49" s="14">
        <v>0</v>
      </c>
      <c r="J49" s="14">
        <v>5000</v>
      </c>
      <c r="K49" s="14">
        <f t="shared" si="15"/>
        <v>38979.120000000003</v>
      </c>
      <c r="L49" s="15">
        <f t="shared" si="16"/>
        <v>0</v>
      </c>
      <c r="M49" s="62">
        <f t="shared" si="13"/>
        <v>0</v>
      </c>
    </row>
    <row r="50" spans="1:18" x14ac:dyDescent="0.2">
      <c r="A50" s="139" t="s">
        <v>28</v>
      </c>
      <c r="B50" s="10">
        <v>47798.07</v>
      </c>
      <c r="C50" s="10">
        <f>+B50-23516.14</f>
        <v>24281.93</v>
      </c>
      <c r="D50" s="11">
        <v>0</v>
      </c>
      <c r="E50" s="11">
        <v>0</v>
      </c>
      <c r="F50" s="12">
        <v>0</v>
      </c>
      <c r="G50" s="201">
        <f t="shared" si="12"/>
        <v>24281.93</v>
      </c>
      <c r="H50" s="11">
        <v>24281.93</v>
      </c>
      <c r="I50" s="14">
        <v>0</v>
      </c>
      <c r="J50" s="14">
        <v>0</v>
      </c>
      <c r="K50" s="14">
        <f t="shared" si="15"/>
        <v>24281.93</v>
      </c>
      <c r="L50" s="15">
        <f t="shared" si="16"/>
        <v>0</v>
      </c>
      <c r="M50" s="62">
        <f t="shared" si="13"/>
        <v>0</v>
      </c>
      <c r="N50" s="270"/>
    </row>
    <row r="51" spans="1:18" x14ac:dyDescent="0.2">
      <c r="A51" s="139" t="s">
        <v>29</v>
      </c>
      <c r="B51" s="10">
        <v>27972730</v>
      </c>
      <c r="C51" s="10">
        <f>+B51-27809818.06</f>
        <v>162911.94000000134</v>
      </c>
      <c r="D51" s="11">
        <v>186451.15</v>
      </c>
      <c r="E51" s="11">
        <v>0</v>
      </c>
      <c r="F51" s="12">
        <f>+E51/C51</f>
        <v>0</v>
      </c>
      <c r="G51" s="109">
        <f t="shared" si="12"/>
        <v>349363.09000000136</v>
      </c>
      <c r="H51" s="13">
        <v>656033.13</v>
      </c>
      <c r="I51" s="14">
        <f>-1</f>
        <v>-1</v>
      </c>
      <c r="J51" s="14">
        <f>219666.96+67322.53+19679.55</f>
        <v>306669.03999999998</v>
      </c>
      <c r="K51" s="14">
        <f>H51+I51-J51</f>
        <v>349363.09</v>
      </c>
      <c r="L51" s="15">
        <f t="shared" si="16"/>
        <v>0</v>
      </c>
      <c r="M51" s="62">
        <f t="shared" si="13"/>
        <v>-1.3387762010097504E-9</v>
      </c>
      <c r="N51" s="272"/>
    </row>
    <row r="52" spans="1:18" x14ac:dyDescent="0.2">
      <c r="A52" s="139" t="s">
        <v>30</v>
      </c>
      <c r="B52" s="10">
        <v>21170988.52</v>
      </c>
      <c r="C52" s="10">
        <f>+B52-21163370.79</f>
        <v>7617.730000000447</v>
      </c>
      <c r="D52" s="11">
        <v>0</v>
      </c>
      <c r="E52" s="10">
        <v>0</v>
      </c>
      <c r="F52" s="12">
        <f>+E52/C52</f>
        <v>0</v>
      </c>
      <c r="G52" s="109">
        <f t="shared" si="12"/>
        <v>7617.730000000447</v>
      </c>
      <c r="H52" s="13">
        <v>113156.96</v>
      </c>
      <c r="I52" s="14">
        <f>63664.06+25043.71</f>
        <v>88707.76999999999</v>
      </c>
      <c r="J52" s="14">
        <f>170257+6000+17990</f>
        <v>194247</v>
      </c>
      <c r="K52" s="14">
        <f>H52+I52-J52</f>
        <v>7617.7299999999814</v>
      </c>
      <c r="L52" s="15">
        <f t="shared" si="16"/>
        <v>0</v>
      </c>
      <c r="M52" s="107">
        <f t="shared" si="13"/>
        <v>-4.6566128730773926E-10</v>
      </c>
      <c r="N52" s="273"/>
      <c r="Q52" s="141"/>
      <c r="R52" s="144"/>
    </row>
    <row r="53" spans="1:18" ht="27" x14ac:dyDescent="0.2">
      <c r="A53" s="139" t="s">
        <v>56</v>
      </c>
      <c r="B53" s="10">
        <v>1500000</v>
      </c>
      <c r="C53" s="10">
        <f>1500000-1499965.2</f>
        <v>34.800000000046566</v>
      </c>
      <c r="D53" s="11">
        <v>0</v>
      </c>
      <c r="E53" s="10">
        <v>0</v>
      </c>
      <c r="F53" s="12">
        <f>+E53/C53</f>
        <v>0</v>
      </c>
      <c r="G53" s="109">
        <f t="shared" si="12"/>
        <v>34.800000000046566</v>
      </c>
      <c r="H53" s="13">
        <v>34.799999999999997</v>
      </c>
      <c r="I53" s="14">
        <v>0</v>
      </c>
      <c r="J53" s="14">
        <v>0</v>
      </c>
      <c r="K53" s="14">
        <f>H53+I53-J53</f>
        <v>34.799999999999997</v>
      </c>
      <c r="L53" s="15">
        <f t="shared" si="16"/>
        <v>0</v>
      </c>
      <c r="M53" s="107">
        <f t="shared" si="13"/>
        <v>-4.6568970901716966E-11</v>
      </c>
      <c r="N53" s="273"/>
      <c r="Q53" s="141"/>
      <c r="R53" s="144"/>
    </row>
    <row r="54" spans="1:18" x14ac:dyDescent="0.2">
      <c r="A54" s="139" t="s">
        <v>58</v>
      </c>
      <c r="B54" s="10">
        <v>8800000</v>
      </c>
      <c r="C54" s="10">
        <f>+B54-8793327.97</f>
        <v>6672.0299999993294</v>
      </c>
      <c r="D54" s="11">
        <v>0</v>
      </c>
      <c r="E54" s="10">
        <v>0</v>
      </c>
      <c r="F54" s="12">
        <f>+E54/C54</f>
        <v>0</v>
      </c>
      <c r="G54" s="109">
        <f t="shared" si="12"/>
        <v>6672.0299999993294</v>
      </c>
      <c r="H54" s="13">
        <v>136749.53</v>
      </c>
      <c r="I54" s="14">
        <v>0</v>
      </c>
      <c r="J54" s="14">
        <f>75804.55+37902.27+11370.68+5000</f>
        <v>130077.5</v>
      </c>
      <c r="K54" s="14">
        <f>H54+I54-J54</f>
        <v>6672.0299999999988</v>
      </c>
      <c r="L54" s="15">
        <f t="shared" si="16"/>
        <v>0</v>
      </c>
      <c r="M54" s="107">
        <f t="shared" si="13"/>
        <v>6.6938810050487518E-10</v>
      </c>
      <c r="N54" s="273"/>
      <c r="Q54" s="141"/>
      <c r="R54" s="144"/>
    </row>
    <row r="55" spans="1:18" x14ac:dyDescent="0.2">
      <c r="A55" s="139" t="s">
        <v>57</v>
      </c>
      <c r="B55" s="10">
        <v>3362600</v>
      </c>
      <c r="C55" s="10">
        <f>+B55-3361389.36</f>
        <v>1210.6400000001304</v>
      </c>
      <c r="D55" s="11">
        <v>0</v>
      </c>
      <c r="E55" s="10">
        <v>0</v>
      </c>
      <c r="F55" s="12">
        <f>+E55/C55</f>
        <v>0</v>
      </c>
      <c r="G55" s="109">
        <f t="shared" si="12"/>
        <v>1210.6400000001304</v>
      </c>
      <c r="H55" s="13">
        <v>54023.49</v>
      </c>
      <c r="I55" s="14">
        <v>0</v>
      </c>
      <c r="J55" s="14">
        <f>28977.48+14488.74+4346.63+5000</f>
        <v>52812.85</v>
      </c>
      <c r="K55" s="14">
        <f>H55+I55-J55</f>
        <v>1210.6399999999994</v>
      </c>
      <c r="L55" s="15">
        <f t="shared" si="16"/>
        <v>0</v>
      </c>
      <c r="M55" s="107">
        <f t="shared" si="13"/>
        <v>-1.3096723705530167E-10</v>
      </c>
      <c r="N55" s="273"/>
      <c r="Q55" s="141"/>
      <c r="R55" s="144"/>
    </row>
    <row r="56" spans="1:18" s="5" customFormat="1" x14ac:dyDescent="0.2">
      <c r="A56" s="20" t="s">
        <v>51</v>
      </c>
      <c r="B56" s="21">
        <f t="shared" ref="B56:K56" si="17">SUM(B42:B52)</f>
        <v>103250242.27999999</v>
      </c>
      <c r="C56" s="21">
        <f t="shared" si="17"/>
        <v>28833103.990000006</v>
      </c>
      <c r="D56" s="21">
        <f t="shared" si="17"/>
        <v>186451.15</v>
      </c>
      <c r="E56" s="21">
        <f t="shared" si="17"/>
        <v>27921430.050000001</v>
      </c>
      <c r="F56" s="21">
        <f t="shared" si="17"/>
        <v>5.1239966036389255</v>
      </c>
      <c r="G56" s="21">
        <f t="shared" si="17"/>
        <v>1098125.0900000017</v>
      </c>
      <c r="H56" s="21">
        <f t="shared" si="17"/>
        <v>1706025.83</v>
      </c>
      <c r="I56" s="21">
        <f t="shared" si="17"/>
        <v>1021607.79</v>
      </c>
      <c r="J56" s="21">
        <f t="shared" si="17"/>
        <v>1629508.5300000003</v>
      </c>
      <c r="K56" s="21">
        <f t="shared" si="17"/>
        <v>1098125.0899999999</v>
      </c>
      <c r="L56" s="23"/>
      <c r="M56" s="61"/>
      <c r="N56" s="203"/>
      <c r="O56" s="143"/>
      <c r="P56" s="143"/>
    </row>
    <row r="57" spans="1:18" s="17" customFormat="1" x14ac:dyDescent="0.25">
      <c r="A57" s="139" t="s">
        <v>18</v>
      </c>
      <c r="B57" s="10">
        <f>+C57</f>
        <v>557287.6400000006</v>
      </c>
      <c r="C57" s="10">
        <f>9497181.34-8522902.7-416991</f>
        <v>557287.6400000006</v>
      </c>
      <c r="D57" s="11">
        <v>0</v>
      </c>
      <c r="E57" s="10">
        <v>2038.23</v>
      </c>
      <c r="F57" s="12">
        <f>+E57/C57</f>
        <v>3.657411099230548E-3</v>
      </c>
      <c r="G57" s="10">
        <f>+C57+D57-E57</f>
        <v>555249.41000000061</v>
      </c>
      <c r="H57" s="13">
        <f>362224.72-0.47</f>
        <v>362224.25</v>
      </c>
      <c r="I57" s="14">
        <f>22013.2+172259.48</f>
        <v>194272.68000000002</v>
      </c>
      <c r="J57" s="14">
        <f>-4302.52+5550.04</f>
        <v>1247.5199999999995</v>
      </c>
      <c r="K57" s="14">
        <f>H57+I57-J57</f>
        <v>555249.41</v>
      </c>
      <c r="L57" s="15">
        <f>+F57</f>
        <v>3.657411099230548E-3</v>
      </c>
      <c r="M57" s="155">
        <f t="shared" ref="M57:M66" si="18">+K57-G57</f>
        <v>0</v>
      </c>
      <c r="N57" s="187"/>
      <c r="O57" s="142"/>
      <c r="P57" s="142"/>
    </row>
    <row r="58" spans="1:18" x14ac:dyDescent="0.2">
      <c r="A58" s="139" t="s">
        <v>20</v>
      </c>
      <c r="B58" s="10">
        <v>0</v>
      </c>
      <c r="C58" s="10">
        <f>981063.54-174602.54</f>
        <v>806461</v>
      </c>
      <c r="D58" s="11">
        <v>0</v>
      </c>
      <c r="E58" s="10">
        <v>0</v>
      </c>
      <c r="F58" s="12">
        <f t="shared" ref="F58:F67" si="19">+E58/C58</f>
        <v>0</v>
      </c>
      <c r="G58" s="10">
        <f>+C58+D58-E58</f>
        <v>806461</v>
      </c>
      <c r="H58" s="13">
        <v>1795340.56</v>
      </c>
      <c r="I58" s="14">
        <v>1162</v>
      </c>
      <c r="J58" s="14">
        <f>272555.03+160187.53+557299</f>
        <v>990041.56</v>
      </c>
      <c r="K58" s="14">
        <f t="shared" ref="K58:K83" si="20">H58+I58-J58</f>
        <v>806461</v>
      </c>
      <c r="L58" s="15">
        <f t="shared" ref="L58:L67" si="21">+F58</f>
        <v>0</v>
      </c>
      <c r="M58" s="62">
        <f>+K58-G58</f>
        <v>0</v>
      </c>
      <c r="N58" s="272"/>
    </row>
    <row r="59" spans="1:18" x14ac:dyDescent="0.2">
      <c r="A59" s="139" t="s">
        <v>21</v>
      </c>
      <c r="B59" s="10">
        <f t="shared" ref="B59:B67" si="22">+C59</f>
        <v>465.82999999998719</v>
      </c>
      <c r="C59" s="10">
        <f>266576.99-80893-185218.16</f>
        <v>465.82999999998719</v>
      </c>
      <c r="D59" s="11">
        <v>0</v>
      </c>
      <c r="E59" s="10">
        <v>0</v>
      </c>
      <c r="F59" s="12">
        <f t="shared" si="19"/>
        <v>0</v>
      </c>
      <c r="G59" s="10">
        <f>+C59+D59-E59</f>
        <v>465.82999999998719</v>
      </c>
      <c r="H59" s="13">
        <v>465.83</v>
      </c>
      <c r="I59" s="14">
        <v>0</v>
      </c>
      <c r="J59" s="14">
        <v>0</v>
      </c>
      <c r="K59" s="14">
        <f t="shared" si="20"/>
        <v>465.83</v>
      </c>
      <c r="L59" s="15">
        <f t="shared" si="21"/>
        <v>0</v>
      </c>
      <c r="M59" s="155">
        <f t="shared" si="18"/>
        <v>1.2789769243681803E-11</v>
      </c>
    </row>
    <row r="60" spans="1:18" x14ac:dyDescent="0.2">
      <c r="A60" s="139" t="s">
        <v>22</v>
      </c>
      <c r="B60" s="10">
        <f t="shared" si="22"/>
        <v>6067.4599999999627</v>
      </c>
      <c r="C60" s="10">
        <f>375412.66-201977-167368.2</f>
        <v>6067.4599999999627</v>
      </c>
      <c r="D60" s="10">
        <v>149.51</v>
      </c>
      <c r="E60" s="10">
        <v>0</v>
      </c>
      <c r="F60" s="12">
        <f t="shared" si="19"/>
        <v>0</v>
      </c>
      <c r="G60" s="10">
        <f t="shared" ref="G60:G65" si="23">+C60+D60-E60</f>
        <v>6216.969999999963</v>
      </c>
      <c r="H60" s="13">
        <v>6216.97</v>
      </c>
      <c r="I60" s="14">
        <v>0</v>
      </c>
      <c r="J60" s="14">
        <v>0</v>
      </c>
      <c r="K60" s="14">
        <f t="shared" si="20"/>
        <v>6216.97</v>
      </c>
      <c r="L60" s="15">
        <f t="shared" si="21"/>
        <v>0</v>
      </c>
      <c r="M60" s="62">
        <f t="shared" si="18"/>
        <v>3.7289282772690058E-11</v>
      </c>
    </row>
    <row r="61" spans="1:18" x14ac:dyDescent="0.2">
      <c r="A61" s="139" t="s">
        <v>23</v>
      </c>
      <c r="B61" s="10">
        <f t="shared" si="22"/>
        <v>17016.04999999993</v>
      </c>
      <c r="C61" s="10">
        <f>1302246.39-788192.61-497037.73</f>
        <v>17016.04999999993</v>
      </c>
      <c r="D61" s="10">
        <v>408.58</v>
      </c>
      <c r="E61" s="10">
        <v>0</v>
      </c>
      <c r="F61" s="12">
        <f t="shared" si="19"/>
        <v>0</v>
      </c>
      <c r="G61" s="10">
        <f t="shared" si="23"/>
        <v>17424.629999999932</v>
      </c>
      <c r="H61" s="13">
        <v>17424.63</v>
      </c>
      <c r="I61" s="14">
        <v>0</v>
      </c>
      <c r="J61" s="14">
        <v>0</v>
      </c>
      <c r="K61" s="14">
        <f t="shared" si="20"/>
        <v>17424.63</v>
      </c>
      <c r="L61" s="15">
        <f t="shared" si="21"/>
        <v>0</v>
      </c>
      <c r="M61" s="155">
        <f t="shared" si="18"/>
        <v>6.9121597334742546E-11</v>
      </c>
    </row>
    <row r="62" spans="1:18" x14ac:dyDescent="0.2">
      <c r="A62" s="139" t="s">
        <v>24</v>
      </c>
      <c r="B62" s="10">
        <f t="shared" si="22"/>
        <v>412246.5499999997</v>
      </c>
      <c r="C62" s="10">
        <f>13636634.35-13212786.17-11601.63</f>
        <v>412246.5499999997</v>
      </c>
      <c r="D62" s="11">
        <v>-459</v>
      </c>
      <c r="E62" s="10">
        <v>0</v>
      </c>
      <c r="F62" s="12">
        <f t="shared" si="19"/>
        <v>0</v>
      </c>
      <c r="G62" s="10">
        <f>+C62+D62-E62</f>
        <v>411787.5499999997</v>
      </c>
      <c r="H62" s="13">
        <v>37530.339999999997</v>
      </c>
      <c r="I62" s="14">
        <v>456237</v>
      </c>
      <c r="J62" s="14">
        <f>52394.42+7312.79+22272.58</f>
        <v>81979.790000000008</v>
      </c>
      <c r="K62" s="14">
        <f t="shared" si="20"/>
        <v>411787.54999999993</v>
      </c>
      <c r="L62" s="15">
        <f t="shared" si="21"/>
        <v>0</v>
      </c>
      <c r="M62" s="62">
        <f t="shared" si="18"/>
        <v>0</v>
      </c>
    </row>
    <row r="63" spans="1:18" x14ac:dyDescent="0.2">
      <c r="A63" s="139" t="s">
        <v>25</v>
      </c>
      <c r="B63" s="10">
        <f t="shared" si="22"/>
        <v>5151.3900000000722</v>
      </c>
      <c r="C63" s="10">
        <f>868753.03-542712.97-320888.67</f>
        <v>5151.3900000000722</v>
      </c>
      <c r="D63" s="10">
        <v>131.31</v>
      </c>
      <c r="E63" s="10">
        <v>0</v>
      </c>
      <c r="F63" s="12">
        <f t="shared" si="19"/>
        <v>0</v>
      </c>
      <c r="G63" s="10">
        <f t="shared" si="23"/>
        <v>5282.7000000000726</v>
      </c>
      <c r="H63" s="13">
        <v>5282.7</v>
      </c>
      <c r="I63" s="14">
        <v>0</v>
      </c>
      <c r="J63" s="14">
        <v>0</v>
      </c>
      <c r="K63" s="14">
        <f t="shared" si="20"/>
        <v>5282.7</v>
      </c>
      <c r="L63" s="15">
        <f t="shared" si="21"/>
        <v>0</v>
      </c>
      <c r="M63" s="155">
        <f t="shared" si="18"/>
        <v>-7.2759576141834259E-11</v>
      </c>
    </row>
    <row r="64" spans="1:18" x14ac:dyDescent="0.2">
      <c r="A64" s="139" t="s">
        <v>27</v>
      </c>
      <c r="B64" s="10">
        <f t="shared" si="22"/>
        <v>3767.3699999999953</v>
      </c>
      <c r="C64" s="10">
        <f>573447.69-569680.32</f>
        <v>3767.3699999999953</v>
      </c>
      <c r="D64" s="11">
        <v>0</v>
      </c>
      <c r="E64" s="10">
        <v>0</v>
      </c>
      <c r="F64" s="12">
        <f t="shared" si="19"/>
        <v>0</v>
      </c>
      <c r="G64" s="10">
        <f t="shared" si="23"/>
        <v>3767.3699999999953</v>
      </c>
      <c r="H64" s="13">
        <v>3767.37</v>
      </c>
      <c r="I64" s="14">
        <v>0</v>
      </c>
      <c r="J64" s="14">
        <v>0</v>
      </c>
      <c r="K64" s="14">
        <f t="shared" si="20"/>
        <v>3767.37</v>
      </c>
      <c r="L64" s="15">
        <f t="shared" si="21"/>
        <v>0</v>
      </c>
      <c r="M64" s="62">
        <f t="shared" si="18"/>
        <v>4.5474735088646412E-12</v>
      </c>
    </row>
    <row r="65" spans="1:16" x14ac:dyDescent="0.2">
      <c r="A65" s="139" t="s">
        <v>28</v>
      </c>
      <c r="B65" s="10">
        <f t="shared" si="22"/>
        <v>542.31999999999971</v>
      </c>
      <c r="C65" s="10">
        <f>36484.65-0-35942.33</f>
        <v>542.31999999999971</v>
      </c>
      <c r="D65" s="11">
        <v>0</v>
      </c>
      <c r="E65" s="10">
        <v>0</v>
      </c>
      <c r="F65" s="12">
        <f t="shared" si="19"/>
        <v>0</v>
      </c>
      <c r="G65" s="10">
        <f t="shared" si="23"/>
        <v>542.31999999999971</v>
      </c>
      <c r="H65" s="13">
        <v>542.32000000000005</v>
      </c>
      <c r="I65" s="14">
        <v>0</v>
      </c>
      <c r="J65" s="14">
        <v>0</v>
      </c>
      <c r="K65" s="14">
        <f t="shared" si="20"/>
        <v>542.32000000000005</v>
      </c>
      <c r="L65" s="15">
        <f t="shared" si="21"/>
        <v>0</v>
      </c>
      <c r="M65" s="155">
        <f t="shared" si="18"/>
        <v>0</v>
      </c>
    </row>
    <row r="66" spans="1:16" x14ac:dyDescent="0.2">
      <c r="A66" s="139" t="s">
        <v>29</v>
      </c>
      <c r="B66" s="10">
        <f>+C66</f>
        <v>489577.01999999862</v>
      </c>
      <c r="C66" s="10">
        <f>25804148.7-21535015.98-3779555.7</f>
        <v>489577.01999999862</v>
      </c>
      <c r="D66" s="45"/>
      <c r="E66" s="10">
        <v>0</v>
      </c>
      <c r="F66" s="12">
        <f t="shared" si="19"/>
        <v>0</v>
      </c>
      <c r="G66" s="10">
        <f>+C66+D66-E66</f>
        <v>489577.01999999862</v>
      </c>
      <c r="H66" s="13">
        <f>2255525.44-1688966.46</f>
        <v>566558.98</v>
      </c>
      <c r="I66" s="14">
        <v>122706.07</v>
      </c>
      <c r="J66" s="14">
        <f>20016.25+99956.62+61086.68+18628.48</f>
        <v>199688.03</v>
      </c>
      <c r="K66" s="14">
        <f>H66+I66-J66</f>
        <v>489577.02</v>
      </c>
      <c r="L66" s="15">
        <f t="shared" si="21"/>
        <v>0</v>
      </c>
      <c r="M66" s="62">
        <f t="shared" si="18"/>
        <v>1.3969838619232178E-9</v>
      </c>
      <c r="N66" s="272"/>
    </row>
    <row r="67" spans="1:16" x14ac:dyDescent="0.2">
      <c r="A67" s="139" t="s">
        <v>30</v>
      </c>
      <c r="B67" s="10">
        <f t="shared" si="22"/>
        <v>193749.02000000025</v>
      </c>
      <c r="C67" s="10">
        <f>19272341-17976826.68-1101765.3</f>
        <v>193749.02000000025</v>
      </c>
      <c r="D67" s="10">
        <v>4227.0200000000004</v>
      </c>
      <c r="E67" s="10">
        <v>0</v>
      </c>
      <c r="F67" s="12">
        <f t="shared" si="19"/>
        <v>0</v>
      </c>
      <c r="G67" s="10">
        <f>+C67+D67-E67</f>
        <v>197976.04000000024</v>
      </c>
      <c r="H67" s="13">
        <v>171700.75</v>
      </c>
      <c r="I67" s="14">
        <v>296402</v>
      </c>
      <c r="J67" s="14">
        <f>26299+244312.48</f>
        <v>270611.48</v>
      </c>
      <c r="K67" s="14">
        <f>H67+I67-J67</f>
        <v>197491.27000000002</v>
      </c>
      <c r="L67" s="15">
        <f t="shared" si="21"/>
        <v>0</v>
      </c>
      <c r="M67" s="155">
        <f>+K67-G67</f>
        <v>-484.77000000022235</v>
      </c>
      <c r="N67" s="273"/>
    </row>
    <row r="68" spans="1:16" s="5" customFormat="1" x14ac:dyDescent="0.2">
      <c r="A68" s="20" t="s">
        <v>33</v>
      </c>
      <c r="B68" s="21">
        <f>SUM(B57:B67)</f>
        <v>1685870.649999999</v>
      </c>
      <c r="C68" s="21">
        <f>SUM(C57:C67)</f>
        <v>2492331.6499999994</v>
      </c>
      <c r="D68" s="21">
        <f>SUM(D57:D67)</f>
        <v>4457.42</v>
      </c>
      <c r="E68" s="21">
        <f>SUM(E57:E67)</f>
        <v>2038.23</v>
      </c>
      <c r="F68" s="22">
        <f>+E68/C68</f>
        <v>8.178004721000917E-4</v>
      </c>
      <c r="G68" s="21">
        <f>SUM(G57:G67)</f>
        <v>2494750.8399999989</v>
      </c>
      <c r="H68" s="21">
        <f>SUM(H57:H67)</f>
        <v>2967054.7</v>
      </c>
      <c r="I68" s="21">
        <f>SUM(I57:I67)</f>
        <v>1070779.75</v>
      </c>
      <c r="J68" s="21">
        <f>SUM(J57:J67)</f>
        <v>1543568.3800000001</v>
      </c>
      <c r="K68" s="21">
        <f>SUM(K57:K67)</f>
        <v>2494266.0700000003</v>
      </c>
      <c r="L68" s="23"/>
      <c r="M68" s="62">
        <f t="shared" ref="M68:M84" si="24">+K68-G68</f>
        <v>-484.76999999862164</v>
      </c>
      <c r="N68" s="203"/>
      <c r="O68" s="143"/>
      <c r="P68" s="143"/>
    </row>
    <row r="69" spans="1:16" x14ac:dyDescent="0.2">
      <c r="A69" s="139" t="s">
        <v>34</v>
      </c>
      <c r="B69" s="10">
        <v>0</v>
      </c>
      <c r="C69" s="10">
        <v>256006.06</v>
      </c>
      <c r="D69" s="13">
        <v>440.75</v>
      </c>
      <c r="E69" s="10">
        <v>0</v>
      </c>
      <c r="F69" s="12">
        <v>0</v>
      </c>
      <c r="G69" s="10">
        <f>+C69+D69-E69</f>
        <v>256446.81</v>
      </c>
      <c r="H69" s="10">
        <v>238695.02</v>
      </c>
      <c r="I69" s="10">
        <v>30099.8</v>
      </c>
      <c r="J69" s="10">
        <v>12348.01</v>
      </c>
      <c r="K69" s="10">
        <f t="shared" si="20"/>
        <v>256446.81</v>
      </c>
      <c r="L69" s="15"/>
      <c r="M69" s="62">
        <f t="shared" si="24"/>
        <v>0</v>
      </c>
    </row>
    <row r="70" spans="1:16" x14ac:dyDescent="0.2">
      <c r="A70" s="20" t="s">
        <v>35</v>
      </c>
      <c r="B70" s="25">
        <f t="shared" ref="B70:K70" si="25">SUM(B69:B69)</f>
        <v>0</v>
      </c>
      <c r="C70" s="25">
        <f t="shared" si="25"/>
        <v>256006.06</v>
      </c>
      <c r="D70" s="25">
        <f t="shared" si="25"/>
        <v>440.75</v>
      </c>
      <c r="E70" s="25">
        <f t="shared" si="25"/>
        <v>0</v>
      </c>
      <c r="F70" s="25">
        <f t="shared" si="25"/>
        <v>0</v>
      </c>
      <c r="G70" s="25">
        <f t="shared" si="25"/>
        <v>256446.81</v>
      </c>
      <c r="H70" s="25">
        <f t="shared" si="25"/>
        <v>238695.02</v>
      </c>
      <c r="I70" s="25">
        <f t="shared" si="25"/>
        <v>30099.8</v>
      </c>
      <c r="J70" s="25">
        <f t="shared" si="25"/>
        <v>12348.01</v>
      </c>
      <c r="K70" s="25">
        <f t="shared" si="25"/>
        <v>256446.81</v>
      </c>
      <c r="L70" s="27"/>
      <c r="M70" s="62">
        <f t="shared" si="24"/>
        <v>0</v>
      </c>
    </row>
    <row r="71" spans="1:16" x14ac:dyDescent="0.2">
      <c r="A71" s="13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0.47</v>
      </c>
      <c r="H71" s="10">
        <v>0.47</v>
      </c>
      <c r="I71" s="10">
        <v>0</v>
      </c>
      <c r="J71" s="10">
        <v>0</v>
      </c>
      <c r="K71" s="10">
        <f t="shared" si="20"/>
        <v>0.47</v>
      </c>
      <c r="L71" s="15"/>
      <c r="M71" s="62">
        <f t="shared" si="24"/>
        <v>0</v>
      </c>
    </row>
    <row r="72" spans="1:16" x14ac:dyDescent="0.2">
      <c r="A72" s="139" t="s">
        <v>29</v>
      </c>
      <c r="B72" s="10">
        <v>0</v>
      </c>
      <c r="C72" s="10">
        <v>0</v>
      </c>
      <c r="D72" s="10">
        <v>0</v>
      </c>
      <c r="E72" s="10">
        <v>0</v>
      </c>
      <c r="F72" s="12">
        <v>0</v>
      </c>
      <c r="G72" s="10">
        <v>17.399999999999999</v>
      </c>
      <c r="H72" s="10">
        <v>17.399999999999999</v>
      </c>
      <c r="I72" s="10"/>
      <c r="J72" s="10">
        <v>0</v>
      </c>
      <c r="K72" s="10">
        <f t="shared" si="20"/>
        <v>17.399999999999999</v>
      </c>
      <c r="L72" s="15"/>
      <c r="M72" s="62">
        <f t="shared" si="24"/>
        <v>0</v>
      </c>
    </row>
    <row r="73" spans="1:16" x14ac:dyDescent="0.2">
      <c r="A73" s="20" t="s">
        <v>37</v>
      </c>
      <c r="B73" s="25">
        <f t="shared" ref="B73:K73" si="26">SUM(B71:B72)</f>
        <v>0</v>
      </c>
      <c r="C73" s="25">
        <f t="shared" si="26"/>
        <v>0</v>
      </c>
      <c r="D73" s="25">
        <f t="shared" si="26"/>
        <v>0</v>
      </c>
      <c r="E73" s="25">
        <f t="shared" si="26"/>
        <v>0</v>
      </c>
      <c r="F73" s="25">
        <f t="shared" si="26"/>
        <v>0</v>
      </c>
      <c r="G73" s="25">
        <f t="shared" si="26"/>
        <v>17.869999999999997</v>
      </c>
      <c r="H73" s="25">
        <f t="shared" si="26"/>
        <v>17.869999999999997</v>
      </c>
      <c r="I73" s="25">
        <f t="shared" si="26"/>
        <v>0</v>
      </c>
      <c r="J73" s="25">
        <f t="shared" si="26"/>
        <v>0</v>
      </c>
      <c r="K73" s="25">
        <f t="shared" si="26"/>
        <v>17.869999999999997</v>
      </c>
      <c r="L73" s="27"/>
      <c r="M73" s="62">
        <f>+K73-G73</f>
        <v>0</v>
      </c>
    </row>
    <row r="74" spans="1:16" x14ac:dyDescent="0.2">
      <c r="A74" s="139" t="s">
        <v>18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1392</v>
      </c>
      <c r="H74" s="10">
        <v>1392</v>
      </c>
      <c r="I74" s="10">
        <v>0</v>
      </c>
      <c r="J74" s="10">
        <v>0</v>
      </c>
      <c r="K74" s="10">
        <f t="shared" si="20"/>
        <v>1392</v>
      </c>
      <c r="L74" s="15"/>
      <c r="M74" s="62">
        <f t="shared" si="24"/>
        <v>0</v>
      </c>
    </row>
    <row r="75" spans="1:16" x14ac:dyDescent="0.2">
      <c r="A75" s="139" t="s">
        <v>20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382.8</v>
      </c>
      <c r="H75" s="10">
        <v>382.8</v>
      </c>
      <c r="I75" s="10">
        <v>0</v>
      </c>
      <c r="J75" s="10">
        <v>0</v>
      </c>
      <c r="K75" s="10">
        <f t="shared" si="20"/>
        <v>382.8</v>
      </c>
      <c r="L75" s="15"/>
      <c r="M75" s="62">
        <f t="shared" si="24"/>
        <v>0</v>
      </c>
    </row>
    <row r="76" spans="1:16" x14ac:dyDescent="0.2">
      <c r="A76" s="139" t="s">
        <v>29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242057.67</v>
      </c>
      <c r="H76" s="10">
        <v>242057.67</v>
      </c>
      <c r="I76" s="10">
        <v>0</v>
      </c>
      <c r="J76" s="10">
        <v>0</v>
      </c>
      <c r="K76" s="10">
        <f t="shared" si="20"/>
        <v>242057.67</v>
      </c>
      <c r="L76" s="15"/>
      <c r="M76" s="62">
        <f t="shared" si="24"/>
        <v>0</v>
      </c>
    </row>
    <row r="77" spans="1:16" x14ac:dyDescent="0.2">
      <c r="A77" s="20" t="s">
        <v>38</v>
      </c>
      <c r="B77" s="25">
        <f t="shared" ref="B77:K77" si="27">SUM(B74:B76)</f>
        <v>0</v>
      </c>
      <c r="C77" s="25">
        <f t="shared" si="27"/>
        <v>0</v>
      </c>
      <c r="D77" s="25">
        <f t="shared" si="27"/>
        <v>0</v>
      </c>
      <c r="E77" s="25">
        <f t="shared" si="27"/>
        <v>0</v>
      </c>
      <c r="F77" s="25">
        <f t="shared" si="27"/>
        <v>0</v>
      </c>
      <c r="G77" s="25">
        <f t="shared" si="27"/>
        <v>243832.47</v>
      </c>
      <c r="H77" s="25">
        <f t="shared" si="27"/>
        <v>243832.47</v>
      </c>
      <c r="I77" s="25">
        <f t="shared" si="27"/>
        <v>0</v>
      </c>
      <c r="J77" s="25">
        <f t="shared" si="27"/>
        <v>0</v>
      </c>
      <c r="K77" s="25">
        <f t="shared" si="27"/>
        <v>243832.47</v>
      </c>
      <c r="L77" s="27"/>
      <c r="M77" s="62">
        <f t="shared" si="24"/>
        <v>0</v>
      </c>
    </row>
    <row r="78" spans="1:16" x14ac:dyDescent="0.2">
      <c r="A78" s="139" t="s">
        <v>36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-10</v>
      </c>
      <c r="H78" s="10">
        <v>-10</v>
      </c>
      <c r="I78" s="10">
        <v>0</v>
      </c>
      <c r="J78" s="10">
        <v>0</v>
      </c>
      <c r="K78" s="10">
        <f t="shared" si="20"/>
        <v>-10</v>
      </c>
      <c r="L78" s="15"/>
      <c r="M78" s="62">
        <f t="shared" si="24"/>
        <v>0</v>
      </c>
    </row>
    <row r="79" spans="1:16" x14ac:dyDescent="0.2">
      <c r="A79" s="139" t="s">
        <v>20</v>
      </c>
      <c r="B79" s="10">
        <v>0</v>
      </c>
      <c r="C79" s="10">
        <v>0</v>
      </c>
      <c r="D79" s="10"/>
      <c r="E79" s="10">
        <v>0</v>
      </c>
      <c r="F79" s="12">
        <v>0</v>
      </c>
      <c r="G79" s="10">
        <v>219.47</v>
      </c>
      <c r="H79" s="10">
        <v>219.47</v>
      </c>
      <c r="I79" s="10">
        <v>0</v>
      </c>
      <c r="J79" s="10">
        <v>0</v>
      </c>
      <c r="K79" s="10">
        <f t="shared" si="20"/>
        <v>219.47</v>
      </c>
      <c r="L79" s="15"/>
      <c r="M79" s="62">
        <f t="shared" si="24"/>
        <v>0</v>
      </c>
    </row>
    <row r="80" spans="1:16" x14ac:dyDescent="0.2">
      <c r="A80" s="139" t="s">
        <v>24</v>
      </c>
      <c r="B80" s="10">
        <v>0</v>
      </c>
      <c r="C80" s="10">
        <v>0</v>
      </c>
      <c r="D80" s="10"/>
      <c r="E80" s="10">
        <v>0</v>
      </c>
      <c r="F80" s="12">
        <v>0</v>
      </c>
      <c r="G80" s="10">
        <v>1150.8900000000001</v>
      </c>
      <c r="H80" s="10">
        <v>42631.81</v>
      </c>
      <c r="I80" s="10">
        <v>412765.08</v>
      </c>
      <c r="J80" s="10">
        <v>454246</v>
      </c>
      <c r="K80" s="10">
        <f t="shared" si="20"/>
        <v>1150.890000000014</v>
      </c>
      <c r="L80" s="15"/>
      <c r="M80" s="62">
        <f t="shared" si="24"/>
        <v>1.3869794202037156E-11</v>
      </c>
    </row>
    <row r="81" spans="1:13" x14ac:dyDescent="0.2">
      <c r="A81" s="139" t="s">
        <v>25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719.87</v>
      </c>
      <c r="H81" s="10">
        <v>719.87</v>
      </c>
      <c r="I81" s="10">
        <v>0</v>
      </c>
      <c r="J81" s="10">
        <v>0</v>
      </c>
      <c r="K81" s="10">
        <f t="shared" si="20"/>
        <v>719.87</v>
      </c>
      <c r="L81" s="15"/>
      <c r="M81" s="62">
        <f t="shared" si="24"/>
        <v>0</v>
      </c>
    </row>
    <row r="82" spans="1:13" x14ac:dyDescent="0.2">
      <c r="A82" s="139" t="s">
        <v>27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267528.84000000003</v>
      </c>
      <c r="H82" s="10">
        <v>0</v>
      </c>
      <c r="I82" s="10">
        <v>267528.84000000003</v>
      </c>
      <c r="J82" s="10">
        <v>0</v>
      </c>
      <c r="K82" s="10">
        <f t="shared" si="20"/>
        <v>267528.84000000003</v>
      </c>
      <c r="L82" s="15"/>
      <c r="M82" s="62">
        <f t="shared" si="24"/>
        <v>0</v>
      </c>
    </row>
    <row r="83" spans="1:13" x14ac:dyDescent="0.2">
      <c r="A83" s="139" t="s">
        <v>29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236767.4</v>
      </c>
      <c r="H83" s="10">
        <v>243581.68</v>
      </c>
      <c r="I83" s="10">
        <v>0</v>
      </c>
      <c r="J83" s="10">
        <f>2827.74+3986.54</f>
        <v>6814.28</v>
      </c>
      <c r="K83" s="10">
        <f t="shared" si="20"/>
        <v>236767.4</v>
      </c>
      <c r="L83" s="15"/>
      <c r="M83" s="62">
        <f t="shared" si="24"/>
        <v>0</v>
      </c>
    </row>
    <row r="84" spans="1:13" x14ac:dyDescent="0.2">
      <c r="A84" s="20" t="s">
        <v>39</v>
      </c>
      <c r="B84" s="25">
        <f t="shared" ref="B84:K84" si="28">SUM(B78:B83)</f>
        <v>0</v>
      </c>
      <c r="C84" s="25">
        <f t="shared" si="28"/>
        <v>0</v>
      </c>
      <c r="D84" s="25">
        <f t="shared" si="28"/>
        <v>0</v>
      </c>
      <c r="E84" s="25">
        <f t="shared" si="28"/>
        <v>0</v>
      </c>
      <c r="F84" s="25">
        <f t="shared" si="28"/>
        <v>0</v>
      </c>
      <c r="G84" s="25">
        <f t="shared" si="28"/>
        <v>506376.47</v>
      </c>
      <c r="H84" s="25">
        <f t="shared" si="28"/>
        <v>287142.83</v>
      </c>
      <c r="I84" s="25">
        <f t="shared" si="28"/>
        <v>680293.92</v>
      </c>
      <c r="J84" s="25">
        <f t="shared" si="28"/>
        <v>461060.28</v>
      </c>
      <c r="K84" s="25">
        <f t="shared" si="28"/>
        <v>506376.47000000009</v>
      </c>
      <c r="L84" s="27"/>
      <c r="M84" s="62">
        <f t="shared" si="24"/>
        <v>0</v>
      </c>
    </row>
    <row r="85" spans="1:13" x14ac:dyDescent="0.25">
      <c r="A85" s="20" t="s">
        <v>44</v>
      </c>
      <c r="B85" s="25">
        <f t="shared" ref="B85:K85" si="29">+B56+B68+B70+B73+B77+B84</f>
        <v>104936112.92999999</v>
      </c>
      <c r="C85" s="25">
        <f t="shared" si="29"/>
        <v>31581441.700000003</v>
      </c>
      <c r="D85" s="25">
        <f t="shared" si="29"/>
        <v>191349.32</v>
      </c>
      <c r="E85" s="25">
        <f t="shared" si="29"/>
        <v>27923468.280000001</v>
      </c>
      <c r="F85" s="25">
        <f t="shared" si="29"/>
        <v>5.1248144041110253</v>
      </c>
      <c r="G85" s="25">
        <f t="shared" si="29"/>
        <v>4599549.5500000007</v>
      </c>
      <c r="H85" s="25">
        <f t="shared" si="29"/>
        <v>5442768.7199999997</v>
      </c>
      <c r="I85" s="25">
        <f t="shared" si="29"/>
        <v>2802781.26</v>
      </c>
      <c r="J85" s="25">
        <f t="shared" si="29"/>
        <v>3646485.2</v>
      </c>
      <c r="K85" s="25">
        <f t="shared" si="29"/>
        <v>4599064.78</v>
      </c>
      <c r="L85" s="27"/>
    </row>
    <row r="86" spans="1:13" x14ac:dyDescent="0.25">
      <c r="A86" s="28"/>
      <c r="B86" s="29"/>
      <c r="C86" s="29"/>
      <c r="D86" s="29"/>
      <c r="E86" s="28"/>
      <c r="F86" s="28"/>
      <c r="G86" s="28"/>
      <c r="H86" s="28"/>
      <c r="I86" s="28"/>
      <c r="J86" s="28"/>
      <c r="K86" s="28"/>
      <c r="L86" s="30"/>
    </row>
    <row r="87" spans="1:13" x14ac:dyDescent="0.25">
      <c r="A87" s="140"/>
      <c r="B87" s="19"/>
      <c r="C87" s="333" t="s">
        <v>45</v>
      </c>
      <c r="D87" s="333"/>
      <c r="E87" s="333"/>
      <c r="F87" s="333"/>
      <c r="G87" s="333"/>
      <c r="H87" s="333"/>
      <c r="I87" s="333"/>
      <c r="J87" s="19"/>
      <c r="K87" s="19"/>
      <c r="L87" s="19"/>
    </row>
    <row r="88" spans="1:13" x14ac:dyDescent="0.25">
      <c r="A88" s="140"/>
      <c r="B88" s="19"/>
      <c r="C88" s="289"/>
      <c r="D88" s="289"/>
      <c r="E88" s="289"/>
      <c r="F88" s="289"/>
      <c r="G88" s="289"/>
      <c r="H88" s="289"/>
      <c r="I88" s="289"/>
      <c r="J88" s="19"/>
      <c r="K88" s="19"/>
      <c r="L88" s="19"/>
    </row>
    <row r="89" spans="1:13" x14ac:dyDescent="0.25">
      <c r="A89" s="140"/>
      <c r="B89" s="325" t="s">
        <v>46</v>
      </c>
      <c r="C89" s="325"/>
      <c r="D89" s="326" t="s">
        <v>47</v>
      </c>
      <c r="E89" s="327"/>
      <c r="F89" s="328"/>
      <c r="G89" s="320" t="s">
        <v>48</v>
      </c>
      <c r="H89" s="320"/>
      <c r="I89" s="291" t="s">
        <v>10</v>
      </c>
      <c r="J89" s="19"/>
      <c r="K89" s="19"/>
      <c r="L89" s="19"/>
    </row>
    <row r="90" spans="1:13" x14ac:dyDescent="0.25">
      <c r="A90" s="140"/>
      <c r="B90" s="329" t="s">
        <v>49</v>
      </c>
      <c r="C90" s="329"/>
      <c r="D90" s="330">
        <v>9000000</v>
      </c>
      <c r="E90" s="331"/>
      <c r="F90" s="332">
        <v>0</v>
      </c>
      <c r="G90" s="330">
        <v>0</v>
      </c>
      <c r="H90" s="332"/>
      <c r="I90" s="33">
        <f>G90/D90</f>
        <v>0</v>
      </c>
      <c r="J90" s="19"/>
      <c r="K90" s="19"/>
      <c r="L90" s="19"/>
    </row>
    <row r="91" spans="1:13" x14ac:dyDescent="0.25">
      <c r="A91" s="140"/>
      <c r="B91" s="320"/>
      <c r="C91" s="320"/>
      <c r="D91" s="321"/>
      <c r="E91" s="322"/>
      <c r="F91" s="323"/>
      <c r="G91" s="324"/>
      <c r="H91" s="324"/>
      <c r="I91" s="292"/>
      <c r="J91" s="19"/>
      <c r="K91" s="19"/>
      <c r="L91" s="19"/>
    </row>
    <row r="92" spans="1:13" x14ac:dyDescent="0.25">
      <c r="A92" s="140"/>
      <c r="B92" s="320"/>
      <c r="C92" s="320"/>
      <c r="D92" s="321"/>
      <c r="E92" s="322"/>
      <c r="F92" s="323"/>
      <c r="G92" s="324"/>
      <c r="H92" s="324"/>
      <c r="I92" s="292"/>
      <c r="J92" s="19"/>
      <c r="K92" s="19"/>
      <c r="L92" s="19"/>
    </row>
    <row r="93" spans="1:13" x14ac:dyDescent="0.25">
      <c r="A93" s="140"/>
      <c r="B93" s="320"/>
      <c r="C93" s="320"/>
      <c r="D93" s="321"/>
      <c r="E93" s="322"/>
      <c r="F93" s="323"/>
      <c r="G93" s="324"/>
      <c r="H93" s="324"/>
      <c r="I93" s="292"/>
      <c r="J93" s="19"/>
      <c r="K93" s="19"/>
      <c r="L93" s="19"/>
    </row>
    <row r="94" spans="1:13" x14ac:dyDescent="0.25">
      <c r="A94" s="35" t="s">
        <v>50</v>
      </c>
      <c r="B94" s="36"/>
      <c r="C94" s="36"/>
      <c r="D94" s="36"/>
      <c r="E94" s="36"/>
      <c r="F94" s="36"/>
      <c r="G94" s="37"/>
      <c r="H94" s="37"/>
      <c r="I94" s="38"/>
      <c r="J94" s="19"/>
      <c r="K94" s="19"/>
      <c r="L94" s="19"/>
    </row>
    <row r="96" spans="1:13" x14ac:dyDescent="0.25">
      <c r="C96" s="342" t="s">
        <v>125</v>
      </c>
      <c r="D96" s="342"/>
      <c r="I96" s="342" t="s">
        <v>128</v>
      </c>
      <c r="J96" s="342"/>
    </row>
    <row r="99" spans="3:10" x14ac:dyDescent="0.25">
      <c r="C99" s="342" t="s">
        <v>126</v>
      </c>
      <c r="D99" s="342"/>
      <c r="I99" s="342" t="s">
        <v>129</v>
      </c>
      <c r="J99" s="342"/>
    </row>
    <row r="100" spans="3:10" x14ac:dyDescent="0.25">
      <c r="C100" s="342" t="s">
        <v>127</v>
      </c>
      <c r="D100" s="342"/>
      <c r="I100" s="342" t="s">
        <v>130</v>
      </c>
      <c r="J100" s="342"/>
    </row>
  </sheetData>
  <mergeCells count="39">
    <mergeCell ref="B92:C92"/>
    <mergeCell ref="D92:F92"/>
    <mergeCell ref="G92:H92"/>
    <mergeCell ref="C100:D100"/>
    <mergeCell ref="I100:J100"/>
    <mergeCell ref="B93:C93"/>
    <mergeCell ref="D93:F93"/>
    <mergeCell ref="G93:H93"/>
    <mergeCell ref="C96:D96"/>
    <mergeCell ref="I96:J96"/>
    <mergeCell ref="C99:D99"/>
    <mergeCell ref="I99:J99"/>
    <mergeCell ref="B90:C90"/>
    <mergeCell ref="D90:F90"/>
    <mergeCell ref="G90:H90"/>
    <mergeCell ref="B91:C91"/>
    <mergeCell ref="D91:F91"/>
    <mergeCell ref="G91:H91"/>
    <mergeCell ref="J9:J10"/>
    <mergeCell ref="K9:K10"/>
    <mergeCell ref="B89:C89"/>
    <mergeCell ref="D89:F89"/>
    <mergeCell ref="G89:H89"/>
    <mergeCell ref="C87:I87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A1:L1"/>
    <mergeCell ref="A3:L3"/>
    <mergeCell ref="A6:L6"/>
    <mergeCell ref="A7:L7"/>
    <mergeCell ref="C8:G8"/>
    <mergeCell ref="H8:K8"/>
  </mergeCells>
  <pageMargins left="0.7" right="0.7" top="0.75" bottom="0.75" header="0.3" footer="0.3"/>
  <pageSetup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100"/>
  <sheetViews>
    <sheetView zoomScale="120" zoomScaleNormal="120" workbookViewId="0">
      <selection sqref="A1:XFD1048576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24.28515625" style="165" customWidth="1"/>
    <col min="14" max="14" width="16.5703125" style="186" customWidth="1"/>
    <col min="15" max="16" width="16.5703125" style="141"/>
    <col min="17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6" x14ac:dyDescent="0.25">
      <c r="A1" s="334" t="s">
        <v>146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6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334" t="s">
        <v>147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6" x14ac:dyDescent="0.25">
      <c r="A4" s="3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6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</row>
    <row r="6" spans="1:16" x14ac:dyDescent="0.25">
      <c r="A6" s="334" t="s">
        <v>146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6" x14ac:dyDescent="0.25">
      <c r="A7" s="334" t="s">
        <v>177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6" x14ac:dyDescent="0.25">
      <c r="C8" s="335" t="s">
        <v>3</v>
      </c>
      <c r="D8" s="335"/>
      <c r="E8" s="336"/>
      <c r="F8" s="336"/>
      <c r="G8" s="336"/>
      <c r="H8" s="335" t="s">
        <v>4</v>
      </c>
      <c r="I8" s="335"/>
      <c r="J8" s="335"/>
      <c r="K8" s="335"/>
    </row>
    <row r="9" spans="1:16" s="17" customFormat="1" x14ac:dyDescent="0.25">
      <c r="A9" s="337" t="s">
        <v>5</v>
      </c>
      <c r="B9" s="340" t="s">
        <v>6</v>
      </c>
      <c r="C9" s="340" t="s">
        <v>7</v>
      </c>
      <c r="D9" s="340" t="s">
        <v>8</v>
      </c>
      <c r="E9" s="340" t="s">
        <v>9</v>
      </c>
      <c r="F9" s="340" t="s">
        <v>10</v>
      </c>
      <c r="G9" s="337" t="s">
        <v>11</v>
      </c>
      <c r="H9" s="340" t="s">
        <v>12</v>
      </c>
      <c r="I9" s="340" t="s">
        <v>13</v>
      </c>
      <c r="J9" s="340" t="s">
        <v>14</v>
      </c>
      <c r="K9" s="340" t="s">
        <v>15</v>
      </c>
      <c r="L9" s="8" t="s">
        <v>16</v>
      </c>
      <c r="M9" s="166"/>
      <c r="N9" s="187"/>
      <c r="O9" s="142"/>
      <c r="P9" s="142"/>
    </row>
    <row r="10" spans="1:16" x14ac:dyDescent="0.25">
      <c r="A10" s="338"/>
      <c r="B10" s="340"/>
      <c r="C10" s="340"/>
      <c r="D10" s="340"/>
      <c r="E10" s="340"/>
      <c r="F10" s="340"/>
      <c r="G10" s="338"/>
      <c r="H10" s="340"/>
      <c r="I10" s="340"/>
      <c r="J10" s="340"/>
      <c r="K10" s="340"/>
      <c r="L10" s="8" t="s">
        <v>17</v>
      </c>
      <c r="O10" s="151"/>
    </row>
    <row r="11" spans="1:16" s="17" customFormat="1" x14ac:dyDescent="0.25">
      <c r="A11" s="139" t="s">
        <v>18</v>
      </c>
      <c r="B11" s="14">
        <v>12913787.119999999</v>
      </c>
      <c r="C11" s="251">
        <f>5844191.41+393127.15</f>
        <v>6237318.5600000005</v>
      </c>
      <c r="D11" s="297">
        <v>2016.29</v>
      </c>
      <c r="E11" s="251">
        <v>6064018.9299999997</v>
      </c>
      <c r="F11" s="14">
        <f>+E11/C11</f>
        <v>0.97221568397814828</v>
      </c>
      <c r="G11" s="251">
        <f>+C11+D11-E11</f>
        <v>175315.92000000086</v>
      </c>
      <c r="H11" s="297">
        <f>56877.11+44382.81</f>
        <v>101259.92</v>
      </c>
      <c r="I11" s="251">
        <f>10000+75826</f>
        <v>85826</v>
      </c>
      <c r="J11" s="251">
        <f>4320+7450</f>
        <v>11770</v>
      </c>
      <c r="K11" s="251">
        <f>H11+I11-J11</f>
        <v>175315.91999999998</v>
      </c>
      <c r="L11" s="265">
        <f>+F11</f>
        <v>0.97221568397814828</v>
      </c>
      <c r="M11" s="62">
        <f t="shared" ref="M11:M23" si="0">+K11-G11</f>
        <v>-8.7311491370201111E-10</v>
      </c>
      <c r="N11" s="278"/>
      <c r="O11" s="153"/>
      <c r="P11" s="142"/>
    </row>
    <row r="12" spans="1:16" x14ac:dyDescent="0.2">
      <c r="A12" s="139" t="s">
        <v>20</v>
      </c>
      <c r="B12" s="14">
        <v>30330208</v>
      </c>
      <c r="C12" s="297">
        <v>14126250.289999999</v>
      </c>
      <c r="D12" s="297">
        <v>5.95</v>
      </c>
      <c r="E12" s="251">
        <v>13718594.949999999</v>
      </c>
      <c r="F12" s="14">
        <f t="shared" ref="F12:F17" si="1">+E12/C12</f>
        <v>0.97114199935360201</v>
      </c>
      <c r="G12" s="251">
        <f>+C12+D12-E12</f>
        <v>407661.28999999911</v>
      </c>
      <c r="H12" s="297">
        <f>40000+691786.39</f>
        <v>731786.39</v>
      </c>
      <c r="I12" s="251">
        <f>20486+29430.9</f>
        <v>49916.9</v>
      </c>
      <c r="J12" s="251">
        <f>243470+130572</f>
        <v>374042</v>
      </c>
      <c r="K12" s="251">
        <f t="shared" ref="K12:K21" si="2">H12+I12-J12</f>
        <v>407661.29000000004</v>
      </c>
      <c r="L12" s="15">
        <f t="shared" ref="L12:L23" si="3">+F12</f>
        <v>0.97114199935360201</v>
      </c>
      <c r="M12" s="62">
        <f t="shared" si="0"/>
        <v>9.3132257461547852E-10</v>
      </c>
      <c r="N12" s="279"/>
      <c r="O12" s="151"/>
    </row>
    <row r="13" spans="1:16" x14ac:dyDescent="0.2">
      <c r="A13" s="139" t="s">
        <v>21</v>
      </c>
      <c r="B13" s="14">
        <v>281207</v>
      </c>
      <c r="C13" s="297">
        <v>174409.58</v>
      </c>
      <c r="D13" s="297">
        <v>0</v>
      </c>
      <c r="E13" s="297">
        <v>114144</v>
      </c>
      <c r="F13" s="14">
        <f t="shared" si="1"/>
        <v>0.65445946260520782</v>
      </c>
      <c r="G13" s="251">
        <f t="shared" ref="G13:G23" si="4">+C13+D13-E13</f>
        <v>60265.579999999987</v>
      </c>
      <c r="H13" s="297">
        <v>60265.58</v>
      </c>
      <c r="I13" s="251">
        <v>0</v>
      </c>
      <c r="J13" s="251">
        <v>0</v>
      </c>
      <c r="K13" s="251">
        <f t="shared" si="2"/>
        <v>60265.58</v>
      </c>
      <c r="L13" s="265">
        <f t="shared" si="3"/>
        <v>0.65445946260520782</v>
      </c>
      <c r="M13" s="62">
        <f t="shared" si="0"/>
        <v>0</v>
      </c>
      <c r="N13" s="280"/>
    </row>
    <row r="14" spans="1:16" x14ac:dyDescent="0.2">
      <c r="A14" s="139" t="s">
        <v>22</v>
      </c>
      <c r="B14" s="14">
        <v>573761</v>
      </c>
      <c r="C14" s="297">
        <v>588704.73</v>
      </c>
      <c r="D14" s="297">
        <v>0</v>
      </c>
      <c r="E14" s="297">
        <v>56376</v>
      </c>
      <c r="F14" s="14">
        <f t="shared" si="1"/>
        <v>9.5762777377378983E-2</v>
      </c>
      <c r="G14" s="251">
        <f t="shared" si="4"/>
        <v>532328.73</v>
      </c>
      <c r="H14" s="297">
        <v>532328.73</v>
      </c>
      <c r="I14" s="251">
        <v>0</v>
      </c>
      <c r="J14" s="251">
        <v>0</v>
      </c>
      <c r="K14" s="251">
        <f t="shared" si="2"/>
        <v>532328.73</v>
      </c>
      <c r="L14" s="265">
        <f t="shared" si="3"/>
        <v>9.5762777377378983E-2</v>
      </c>
      <c r="M14" s="62">
        <f t="shared" si="0"/>
        <v>0</v>
      </c>
      <c r="N14" s="280"/>
    </row>
    <row r="15" spans="1:16" x14ac:dyDescent="0.2">
      <c r="A15" s="139" t="s">
        <v>23</v>
      </c>
      <c r="B15" s="14">
        <v>1398350</v>
      </c>
      <c r="C15" s="297">
        <v>632196.96</v>
      </c>
      <c r="D15" s="297">
        <v>0</v>
      </c>
      <c r="E15" s="297">
        <v>114090.64</v>
      </c>
      <c r="F15" s="14">
        <f t="shared" si="1"/>
        <v>0.18046692283999596</v>
      </c>
      <c r="G15" s="251">
        <f t="shared" si="4"/>
        <v>518106.31999999995</v>
      </c>
      <c r="H15" s="297">
        <v>518106.32</v>
      </c>
      <c r="I15" s="251">
        <v>0</v>
      </c>
      <c r="J15" s="251">
        <v>0</v>
      </c>
      <c r="K15" s="251">
        <f t="shared" si="2"/>
        <v>518106.32</v>
      </c>
      <c r="L15" s="265">
        <f t="shared" si="3"/>
        <v>0.18046692283999596</v>
      </c>
      <c r="M15" s="62">
        <f t="shared" si="0"/>
        <v>0</v>
      </c>
      <c r="N15" s="281"/>
    </row>
    <row r="16" spans="1:16" x14ac:dyDescent="0.2">
      <c r="A16" s="139" t="s">
        <v>24</v>
      </c>
      <c r="B16" s="14">
        <v>14692367</v>
      </c>
      <c r="C16" s="297">
        <v>7911286.54</v>
      </c>
      <c r="D16" s="297">
        <v>0.06</v>
      </c>
      <c r="E16" s="251">
        <v>7054384.3099999996</v>
      </c>
      <c r="F16" s="14">
        <f t="shared" si="1"/>
        <v>0.89168610874256105</v>
      </c>
      <c r="G16" s="251">
        <f>+C16+D16-E16</f>
        <v>856902.29</v>
      </c>
      <c r="H16" s="297">
        <v>972158.29</v>
      </c>
      <c r="I16" s="251">
        <v>0</v>
      </c>
      <c r="J16" s="251">
        <f>62234+53022</f>
        <v>115256</v>
      </c>
      <c r="K16" s="251">
        <f t="shared" si="2"/>
        <v>856902.29</v>
      </c>
      <c r="L16" s="265">
        <f t="shared" si="3"/>
        <v>0.89168610874256105</v>
      </c>
      <c r="M16" s="62">
        <f t="shared" si="0"/>
        <v>0</v>
      </c>
      <c r="N16" s="281"/>
      <c r="O16" s="151"/>
    </row>
    <row r="17" spans="1:18" x14ac:dyDescent="0.2">
      <c r="A17" s="139" t="s">
        <v>25</v>
      </c>
      <c r="B17" s="14">
        <v>1397810.64</v>
      </c>
      <c r="C17" s="297">
        <v>515816.56</v>
      </c>
      <c r="D17" s="297">
        <v>0.03</v>
      </c>
      <c r="E17" s="251">
        <v>356792.29</v>
      </c>
      <c r="F17" s="14">
        <f t="shared" si="1"/>
        <v>0.69170382974908751</v>
      </c>
      <c r="G17" s="251">
        <f t="shared" si="4"/>
        <v>159024.30000000005</v>
      </c>
      <c r="H17" s="297">
        <v>159024.29999999999</v>
      </c>
      <c r="I17" s="251">
        <v>0</v>
      </c>
      <c r="J17" s="251">
        <v>0</v>
      </c>
      <c r="K17" s="251">
        <f t="shared" si="2"/>
        <v>159024.29999999999</v>
      </c>
      <c r="L17" s="265">
        <f t="shared" si="3"/>
        <v>0.69170382974908751</v>
      </c>
      <c r="M17" s="107">
        <f>+K17-G17</f>
        <v>0</v>
      </c>
      <c r="N17" s="281"/>
    </row>
    <row r="18" spans="1:18" x14ac:dyDescent="0.2">
      <c r="A18" s="139" t="s">
        <v>53</v>
      </c>
      <c r="B18" s="14">
        <v>887363.87</v>
      </c>
      <c r="C18" s="297">
        <v>46.93</v>
      </c>
      <c r="D18" s="297">
        <v>0</v>
      </c>
      <c r="E18" s="297">
        <v>0</v>
      </c>
      <c r="F18" s="14">
        <v>0</v>
      </c>
      <c r="G18" s="251">
        <f t="shared" si="4"/>
        <v>46.93</v>
      </c>
      <c r="H18" s="297">
        <v>5046.93</v>
      </c>
      <c r="I18" s="251">
        <v>0</v>
      </c>
      <c r="J18" s="251">
        <v>5000</v>
      </c>
      <c r="K18" s="251">
        <f t="shared" si="2"/>
        <v>46.930000000000291</v>
      </c>
      <c r="L18" s="265">
        <f t="shared" si="3"/>
        <v>0</v>
      </c>
      <c r="M18" s="107">
        <f t="shared" si="0"/>
        <v>2.9132252166164108E-13</v>
      </c>
      <c r="N18" s="281"/>
    </row>
    <row r="19" spans="1:18" x14ac:dyDescent="0.2">
      <c r="A19" s="139" t="s">
        <v>27</v>
      </c>
      <c r="B19" s="14">
        <f>+C19</f>
        <v>0</v>
      </c>
      <c r="C19" s="297">
        <v>0</v>
      </c>
      <c r="D19" s="297">
        <v>0</v>
      </c>
      <c r="E19" s="297">
        <v>0</v>
      </c>
      <c r="F19" s="14">
        <v>0</v>
      </c>
      <c r="G19" s="251">
        <f t="shared" si="4"/>
        <v>0</v>
      </c>
      <c r="H19" s="297">
        <v>0</v>
      </c>
      <c r="I19" s="251">
        <v>0</v>
      </c>
      <c r="J19" s="251">
        <v>0</v>
      </c>
      <c r="K19" s="251">
        <f t="shared" si="2"/>
        <v>0</v>
      </c>
      <c r="L19" s="265">
        <f t="shared" si="3"/>
        <v>0</v>
      </c>
      <c r="M19" s="107">
        <f t="shared" si="0"/>
        <v>0</v>
      </c>
      <c r="N19" s="282"/>
    </row>
    <row r="20" spans="1:18" x14ac:dyDescent="0.2">
      <c r="A20" s="139" t="s">
        <v>28</v>
      </c>
      <c r="B20" s="14">
        <v>55010.61</v>
      </c>
      <c r="C20" s="297">
        <v>26985.25</v>
      </c>
      <c r="D20" s="297">
        <v>0</v>
      </c>
      <c r="E20" s="297">
        <v>0</v>
      </c>
      <c r="F20" s="14">
        <v>0</v>
      </c>
      <c r="G20" s="251">
        <f t="shared" si="4"/>
        <v>26985.25</v>
      </c>
      <c r="H20" s="297">
        <v>26985.25</v>
      </c>
      <c r="I20" s="251">
        <v>0</v>
      </c>
      <c r="J20" s="251">
        <v>0</v>
      </c>
      <c r="K20" s="251">
        <f t="shared" si="2"/>
        <v>26985.25</v>
      </c>
      <c r="L20" s="265">
        <f t="shared" si="3"/>
        <v>0</v>
      </c>
      <c r="M20" s="107">
        <f t="shared" si="0"/>
        <v>0</v>
      </c>
      <c r="N20" s="270"/>
    </row>
    <row r="21" spans="1:18" ht="27" x14ac:dyDescent="0.2">
      <c r="A21" s="139" t="s">
        <v>136</v>
      </c>
      <c r="B21" s="14">
        <v>0</v>
      </c>
      <c r="C21" s="297">
        <v>2740680</v>
      </c>
      <c r="D21" s="297">
        <v>0</v>
      </c>
      <c r="E21" s="297">
        <v>2743100</v>
      </c>
      <c r="F21" s="14">
        <v>0</v>
      </c>
      <c r="G21" s="251">
        <f t="shared" si="4"/>
        <v>-2420</v>
      </c>
      <c r="H21" s="297">
        <v>2580</v>
      </c>
      <c r="I21" s="251">
        <v>0</v>
      </c>
      <c r="J21" s="251">
        <v>5000</v>
      </c>
      <c r="K21" s="251">
        <f t="shared" si="2"/>
        <v>-2420</v>
      </c>
      <c r="L21" s="265">
        <f t="shared" si="3"/>
        <v>0</v>
      </c>
      <c r="M21" s="107">
        <f t="shared" si="0"/>
        <v>0</v>
      </c>
      <c r="N21" s="270"/>
    </row>
    <row r="22" spans="1:18" x14ac:dyDescent="0.2">
      <c r="A22" s="139" t="s">
        <v>29</v>
      </c>
      <c r="B22" s="14">
        <v>29358059</v>
      </c>
      <c r="C22" s="297">
        <v>19533048.899999999</v>
      </c>
      <c r="D22" s="297">
        <v>0</v>
      </c>
      <c r="E22" s="297">
        <v>0</v>
      </c>
      <c r="F22" s="14">
        <f>+E22/C22</f>
        <v>0</v>
      </c>
      <c r="G22" s="251">
        <f t="shared" si="4"/>
        <v>19533048.899999999</v>
      </c>
      <c r="H22" s="297">
        <f>3260506.9+16272542</f>
        <v>19533048.899999999</v>
      </c>
      <c r="I22" s="251">
        <v>0</v>
      </c>
      <c r="J22" s="251">
        <v>0</v>
      </c>
      <c r="K22" s="251">
        <f>H22+I22-J22</f>
        <v>19533048.899999999</v>
      </c>
      <c r="L22" s="265">
        <f t="shared" si="3"/>
        <v>0</v>
      </c>
      <c r="M22" s="107">
        <f t="shared" si="0"/>
        <v>0</v>
      </c>
      <c r="N22" s="270"/>
    </row>
    <row r="23" spans="1:18" x14ac:dyDescent="0.2">
      <c r="A23" s="139" t="s">
        <v>30</v>
      </c>
      <c r="B23" s="14">
        <v>22883119</v>
      </c>
      <c r="C23" s="297">
        <v>13079531.460000001</v>
      </c>
      <c r="D23" s="297">
        <v>0</v>
      </c>
      <c r="E23" s="251">
        <v>11178434.289999999</v>
      </c>
      <c r="F23" s="14">
        <f>+E23/C23</f>
        <v>0.85465097310144766</v>
      </c>
      <c r="G23" s="251">
        <f t="shared" si="4"/>
        <v>1901097.1700000018</v>
      </c>
      <c r="H23" s="297">
        <v>1975682.26</v>
      </c>
      <c r="I23" s="251">
        <f>201200.6+93300</f>
        <v>294500.59999999998</v>
      </c>
      <c r="J23" s="251">
        <f>20209+348876.69</f>
        <v>369085.69</v>
      </c>
      <c r="K23" s="251">
        <f>H23+I23-J23</f>
        <v>1901097.17</v>
      </c>
      <c r="L23" s="265">
        <f t="shared" si="3"/>
        <v>0.85465097310144766</v>
      </c>
      <c r="M23" s="107">
        <f t="shared" si="0"/>
        <v>-1.862645149230957E-9</v>
      </c>
      <c r="N23" s="283"/>
      <c r="Q23" s="141"/>
      <c r="R23" s="144"/>
    </row>
    <row r="24" spans="1:18" s="5" customFormat="1" x14ac:dyDescent="0.2">
      <c r="A24" s="248" t="s">
        <v>144</v>
      </c>
      <c r="B24" s="21">
        <f t="shared" ref="B24:K24" si="5">SUM(B11:B23)</f>
        <v>114771043.23999999</v>
      </c>
      <c r="C24" s="21">
        <f t="shared" si="5"/>
        <v>65566275.759999998</v>
      </c>
      <c r="D24" s="21">
        <f t="shared" si="5"/>
        <v>2022.33</v>
      </c>
      <c r="E24" s="21">
        <f t="shared" si="5"/>
        <v>41399935.409999996</v>
      </c>
      <c r="F24" s="249">
        <f t="shared" si="5"/>
        <v>5.3120877577474293</v>
      </c>
      <c r="G24" s="249">
        <f t="shared" si="5"/>
        <v>24168362.68</v>
      </c>
      <c r="H24" s="249">
        <f t="shared" si="5"/>
        <v>24618272.870000001</v>
      </c>
      <c r="I24" s="249">
        <f t="shared" si="5"/>
        <v>430243.5</v>
      </c>
      <c r="J24" s="249">
        <f t="shared" si="5"/>
        <v>880153.69</v>
      </c>
      <c r="K24" s="249">
        <f t="shared" si="5"/>
        <v>24168362.68</v>
      </c>
      <c r="L24" s="252"/>
      <c r="M24" s="118">
        <f>SUM(M11:M23)</f>
        <v>-1.804146165795828E-9</v>
      </c>
      <c r="N24" s="203"/>
      <c r="O24" s="143"/>
      <c r="P24" s="143"/>
    </row>
    <row r="25" spans="1:18" s="17" customFormat="1" x14ac:dyDescent="0.25">
      <c r="A25" s="139" t="s">
        <v>18</v>
      </c>
      <c r="B25" s="14">
        <f>10999097.88+238908.65</f>
        <v>11238006.530000001</v>
      </c>
      <c r="C25" s="14">
        <f>10999097.88+238908.65</f>
        <v>11238006.530000001</v>
      </c>
      <c r="D25" s="11">
        <v>0</v>
      </c>
      <c r="E25" s="14">
        <v>11056143.380000001</v>
      </c>
      <c r="F25" s="14">
        <f>+E25/C25</f>
        <v>0.98381713433654672</v>
      </c>
      <c r="G25" s="251">
        <f>+C25+D25-E25</f>
        <v>181863.15000000037</v>
      </c>
      <c r="H25" s="11">
        <f>178606.93+5000</f>
        <v>183606.93</v>
      </c>
      <c r="I25" s="14">
        <f>127254.42+10000</f>
        <v>137254.41999999998</v>
      </c>
      <c r="J25" s="14">
        <f>21634+117364.2</f>
        <v>138998.20000000001</v>
      </c>
      <c r="K25" s="14">
        <f>H25+I25-J25</f>
        <v>181863.14999999997</v>
      </c>
      <c r="L25" s="15">
        <f>+F25</f>
        <v>0.98381713433654672</v>
      </c>
      <c r="M25" s="62">
        <f t="shared" ref="M25:M40" si="6">+K25-G25</f>
        <v>-4.0745362639427185E-10</v>
      </c>
      <c r="N25" s="278"/>
      <c r="O25" s="153"/>
      <c r="P25" s="142"/>
    </row>
    <row r="26" spans="1:18" x14ac:dyDescent="0.2">
      <c r="A26" s="139" t="s">
        <v>20</v>
      </c>
      <c r="B26" s="11">
        <v>32201284.170000002</v>
      </c>
      <c r="C26" s="11">
        <v>32201284.170000002</v>
      </c>
      <c r="D26" s="11">
        <v>0</v>
      </c>
      <c r="E26" s="14">
        <f>32201284.17+1111.5</f>
        <v>32202395.670000002</v>
      </c>
      <c r="F26" s="14">
        <f t="shared" ref="F26:F31" si="7">+E26/C26</f>
        <v>1.0000345172569558</v>
      </c>
      <c r="G26" s="251">
        <f t="shared" ref="G26:G40" si="8">+C26+D26-E26</f>
        <v>-1111.5</v>
      </c>
      <c r="H26" s="11">
        <v>-32123.5</v>
      </c>
      <c r="I26" s="14">
        <f>254129-800</f>
        <v>253329</v>
      </c>
      <c r="J26" s="14">
        <f>-65336+62764+224889</f>
        <v>222317</v>
      </c>
      <c r="K26" s="14">
        <f t="shared" ref="K26:K35" si="9">H26+I26-J26</f>
        <v>-1111.5</v>
      </c>
      <c r="L26" s="15">
        <f t="shared" ref="L26:L37" si="10">+F26</f>
        <v>1.0000345172569558</v>
      </c>
      <c r="M26" s="61">
        <f t="shared" si="6"/>
        <v>0</v>
      </c>
      <c r="N26" s="279"/>
      <c r="O26" s="151"/>
    </row>
    <row r="27" spans="1:18" x14ac:dyDescent="0.2">
      <c r="A27" s="139" t="s">
        <v>21</v>
      </c>
      <c r="B27" s="11">
        <v>375916.69</v>
      </c>
      <c r="C27" s="11">
        <v>375916.69</v>
      </c>
      <c r="D27" s="11">
        <v>0</v>
      </c>
      <c r="E27" s="11">
        <v>364122.38</v>
      </c>
      <c r="F27" s="14">
        <f t="shared" si="7"/>
        <v>0.9686252025681541</v>
      </c>
      <c r="G27" s="251">
        <f t="shared" si="8"/>
        <v>11794.309999999998</v>
      </c>
      <c r="H27" s="11">
        <v>11794.31</v>
      </c>
      <c r="I27" s="14">
        <v>0</v>
      </c>
      <c r="J27" s="14">
        <v>0</v>
      </c>
      <c r="K27" s="14">
        <f t="shared" si="9"/>
        <v>11794.31</v>
      </c>
      <c r="L27" s="15">
        <f t="shared" si="10"/>
        <v>0.9686252025681541</v>
      </c>
      <c r="M27" s="236">
        <f t="shared" si="6"/>
        <v>0</v>
      </c>
      <c r="N27" s="280"/>
    </row>
    <row r="28" spans="1:18" x14ac:dyDescent="0.2">
      <c r="A28" s="139" t="s">
        <v>22</v>
      </c>
      <c r="B28" s="11">
        <v>553292.86</v>
      </c>
      <c r="C28" s="11">
        <v>553292.86</v>
      </c>
      <c r="D28" s="11">
        <v>0</v>
      </c>
      <c r="E28" s="11">
        <v>549193.92000000004</v>
      </c>
      <c r="F28" s="14">
        <f t="shared" si="7"/>
        <v>0.99259173523403155</v>
      </c>
      <c r="G28" s="251">
        <f t="shared" si="8"/>
        <v>4098.9399999999441</v>
      </c>
      <c r="H28" s="11">
        <v>4098.9399999999996</v>
      </c>
      <c r="I28" s="14">
        <v>0</v>
      </c>
      <c r="J28" s="14">
        <v>0</v>
      </c>
      <c r="K28" s="14">
        <f t="shared" si="9"/>
        <v>4098.9399999999996</v>
      </c>
      <c r="L28" s="15">
        <f t="shared" si="10"/>
        <v>0.99259173523403155</v>
      </c>
      <c r="M28" s="236">
        <f t="shared" si="6"/>
        <v>5.5479176808148623E-11</v>
      </c>
      <c r="N28" s="280"/>
    </row>
    <row r="29" spans="1:18" x14ac:dyDescent="0.2">
      <c r="A29" s="139" t="s">
        <v>23</v>
      </c>
      <c r="B29" s="11">
        <v>1287364.3999999999</v>
      </c>
      <c r="C29" s="11">
        <v>1287364.3999999999</v>
      </c>
      <c r="D29" s="11">
        <v>0</v>
      </c>
      <c r="E29" s="11">
        <v>1286941.03</v>
      </c>
      <c r="F29" s="14">
        <f t="shared" si="7"/>
        <v>0.99967113429577525</v>
      </c>
      <c r="G29" s="251">
        <f t="shared" si="8"/>
        <v>423.36999999987893</v>
      </c>
      <c r="H29" s="11">
        <v>423.37</v>
      </c>
      <c r="I29" s="14">
        <v>0</v>
      </c>
      <c r="J29" s="14">
        <v>0</v>
      </c>
      <c r="K29" s="14">
        <f t="shared" si="9"/>
        <v>423.37</v>
      </c>
      <c r="L29" s="15">
        <f t="shared" si="10"/>
        <v>0.99967113429577525</v>
      </c>
      <c r="M29" s="236">
        <f t="shared" si="6"/>
        <v>1.2107648217352107E-10</v>
      </c>
      <c r="N29" s="281"/>
    </row>
    <row r="30" spans="1:18" x14ac:dyDescent="0.2">
      <c r="A30" s="139" t="s">
        <v>24</v>
      </c>
      <c r="B30" s="11">
        <v>15340178.58</v>
      </c>
      <c r="C30" s="11">
        <v>15340178.58</v>
      </c>
      <c r="D30" s="11">
        <v>0</v>
      </c>
      <c r="E30" s="14">
        <f>15320249.52</f>
        <v>15320249.52</v>
      </c>
      <c r="F30" s="14">
        <f t="shared" si="7"/>
        <v>0.99870085867018632</v>
      </c>
      <c r="G30" s="251">
        <f t="shared" si="8"/>
        <v>19929.060000000522</v>
      </c>
      <c r="H30" s="11">
        <v>501651.06</v>
      </c>
      <c r="I30" s="14">
        <v>0</v>
      </c>
      <c r="J30" s="14">
        <f>419314+2000+60408</f>
        <v>481722</v>
      </c>
      <c r="K30" s="14">
        <f t="shared" si="9"/>
        <v>19929.059999999998</v>
      </c>
      <c r="L30" s="15">
        <f t="shared" si="10"/>
        <v>0.99870085867018632</v>
      </c>
      <c r="M30" s="62">
        <f t="shared" si="6"/>
        <v>-5.2386894822120667E-10</v>
      </c>
      <c r="N30" s="281"/>
      <c r="O30" s="151"/>
    </row>
    <row r="31" spans="1:18" x14ac:dyDescent="0.2">
      <c r="A31" s="139" t="s">
        <v>25</v>
      </c>
      <c r="B31" s="11">
        <v>1461552.81</v>
      </c>
      <c r="C31" s="11">
        <v>1461552.81</v>
      </c>
      <c r="D31" s="11">
        <v>0</v>
      </c>
      <c r="E31" s="14">
        <v>1315379.46</v>
      </c>
      <c r="F31" s="14">
        <f t="shared" si="7"/>
        <v>0.89998763712137086</v>
      </c>
      <c r="G31" s="251">
        <f t="shared" si="8"/>
        <v>146173.35000000009</v>
      </c>
      <c r="H31" s="11">
        <v>146173.35</v>
      </c>
      <c r="I31" s="14">
        <v>0</v>
      </c>
      <c r="J31" s="14">
        <v>0</v>
      </c>
      <c r="K31" s="14">
        <f t="shared" si="9"/>
        <v>146173.35</v>
      </c>
      <c r="L31" s="15">
        <f t="shared" si="10"/>
        <v>0.89998763712137086</v>
      </c>
      <c r="M31" s="236">
        <f t="shared" si="6"/>
        <v>0</v>
      </c>
      <c r="N31" s="281"/>
    </row>
    <row r="32" spans="1:18" x14ac:dyDescent="0.2">
      <c r="A32" s="139" t="s">
        <v>53</v>
      </c>
      <c r="B32" s="11">
        <v>888239.11</v>
      </c>
      <c r="C32" s="11">
        <v>888239.11</v>
      </c>
      <c r="D32" s="11">
        <v>0</v>
      </c>
      <c r="E32" s="11">
        <v>651043.92000000004</v>
      </c>
      <c r="F32" s="14">
        <v>0</v>
      </c>
      <c r="G32" s="251">
        <f t="shared" si="8"/>
        <v>237195.18999999994</v>
      </c>
      <c r="H32" s="11">
        <v>237195.19</v>
      </c>
      <c r="I32" s="14">
        <v>0</v>
      </c>
      <c r="J32" s="14">
        <v>0</v>
      </c>
      <c r="K32" s="14">
        <f t="shared" si="9"/>
        <v>237195.19</v>
      </c>
      <c r="L32" s="15">
        <f t="shared" si="10"/>
        <v>0</v>
      </c>
      <c r="M32" s="236">
        <f t="shared" si="6"/>
        <v>0</v>
      </c>
      <c r="N32" s="281"/>
    </row>
    <row r="33" spans="1:18" x14ac:dyDescent="0.2">
      <c r="A33" s="139" t="s">
        <v>27</v>
      </c>
      <c r="B33" s="11">
        <v>0</v>
      </c>
      <c r="C33" s="11">
        <v>0</v>
      </c>
      <c r="D33" s="11">
        <v>0</v>
      </c>
      <c r="E33" s="11">
        <v>0</v>
      </c>
      <c r="F33" s="14">
        <v>0</v>
      </c>
      <c r="G33" s="251">
        <f t="shared" si="8"/>
        <v>0</v>
      </c>
      <c r="H33" s="11">
        <v>0</v>
      </c>
      <c r="I33" s="14">
        <v>0</v>
      </c>
      <c r="J33" s="14">
        <v>0</v>
      </c>
      <c r="K33" s="14">
        <f t="shared" si="9"/>
        <v>0</v>
      </c>
      <c r="L33" s="15">
        <f t="shared" si="10"/>
        <v>0</v>
      </c>
      <c r="M33" s="236">
        <f t="shared" si="6"/>
        <v>0</v>
      </c>
      <c r="N33" s="281"/>
    </row>
    <row r="34" spans="1:18" x14ac:dyDescent="0.2">
      <c r="A34" s="139" t="s">
        <v>28</v>
      </c>
      <c r="B34" s="11">
        <v>60034.41</v>
      </c>
      <c r="C34" s="11">
        <v>60034.41</v>
      </c>
      <c r="D34" s="11">
        <v>0</v>
      </c>
      <c r="E34" s="11">
        <v>36692.129999999997</v>
      </c>
      <c r="F34" s="14">
        <v>0</v>
      </c>
      <c r="G34" s="251">
        <f t="shared" si="8"/>
        <v>23342.280000000006</v>
      </c>
      <c r="H34" s="11">
        <v>23342.28</v>
      </c>
      <c r="I34" s="14">
        <v>0</v>
      </c>
      <c r="J34" s="14">
        <v>0</v>
      </c>
      <c r="K34" s="14">
        <f t="shared" si="9"/>
        <v>23342.28</v>
      </c>
      <c r="L34" s="15">
        <f t="shared" si="10"/>
        <v>0</v>
      </c>
      <c r="M34" s="236">
        <f t="shared" si="6"/>
        <v>0</v>
      </c>
      <c r="N34" s="270"/>
    </row>
    <row r="35" spans="1:18" ht="27" x14ac:dyDescent="0.2">
      <c r="A35" s="139" t="s">
        <v>136</v>
      </c>
      <c r="B35" s="11">
        <v>2201262.25</v>
      </c>
      <c r="C35" s="11">
        <v>2201262.25</v>
      </c>
      <c r="D35" s="11">
        <v>818.27</v>
      </c>
      <c r="E35" s="11">
        <v>2193712.5099999998</v>
      </c>
      <c r="F35" s="14"/>
      <c r="G35" s="251">
        <f t="shared" si="8"/>
        <v>8368.0100000002421</v>
      </c>
      <c r="H35" s="11">
        <v>8368.01</v>
      </c>
      <c r="I35" s="14">
        <v>0</v>
      </c>
      <c r="J35" s="14">
        <v>0</v>
      </c>
      <c r="K35" s="14">
        <f t="shared" si="9"/>
        <v>8368.01</v>
      </c>
      <c r="L35" s="15">
        <f t="shared" si="10"/>
        <v>0</v>
      </c>
      <c r="M35" s="236">
        <f t="shared" si="6"/>
        <v>-2.4192559067159891E-10</v>
      </c>
      <c r="N35" s="270"/>
    </row>
    <row r="36" spans="1:18" x14ac:dyDescent="0.2">
      <c r="A36" s="139" t="s">
        <v>29</v>
      </c>
      <c r="B36" s="11">
        <v>29358891.780000001</v>
      </c>
      <c r="C36" s="11">
        <v>29358891.780000001</v>
      </c>
      <c r="D36" s="11">
        <v>644200.78</v>
      </c>
      <c r="E36" s="11">
        <v>29358059.32</v>
      </c>
      <c r="F36" s="14">
        <f>+E36/C36</f>
        <v>0.99997164538749495</v>
      </c>
      <c r="G36" s="251">
        <f t="shared" si="8"/>
        <v>645033.24000000209</v>
      </c>
      <c r="H36" s="11">
        <f>27044389.8+0</f>
        <v>27044389.800000001</v>
      </c>
      <c r="I36" s="14">
        <v>2958702.76</v>
      </c>
      <c r="J36" s="14">
        <v>29358059.32</v>
      </c>
      <c r="K36" s="14">
        <f>H36+I36-J36</f>
        <v>645033.24000000209</v>
      </c>
      <c r="L36" s="15">
        <f t="shared" si="10"/>
        <v>0.99997164538749495</v>
      </c>
      <c r="M36" s="236">
        <f t="shared" si="6"/>
        <v>0</v>
      </c>
      <c r="N36" s="270"/>
    </row>
    <row r="37" spans="1:18" x14ac:dyDescent="0.2">
      <c r="A37" s="139" t="s">
        <v>30</v>
      </c>
      <c r="B37" s="11">
        <v>23067538.390000001</v>
      </c>
      <c r="C37" s="11">
        <v>23067538.390000001</v>
      </c>
      <c r="D37" s="11">
        <v>0</v>
      </c>
      <c r="E37" s="14">
        <f>23067538.39-13458.57</f>
        <v>23054079.82</v>
      </c>
      <c r="F37" s="14">
        <f>+E37/C37</f>
        <v>0.99941655803179086</v>
      </c>
      <c r="G37" s="251">
        <f t="shared" si="8"/>
        <v>13458.570000000298</v>
      </c>
      <c r="H37" s="11">
        <v>374090.59</v>
      </c>
      <c r="I37" s="14">
        <f>713.4+45970</f>
        <v>46683.4</v>
      </c>
      <c r="J37" s="14">
        <f>275061+132254.42</f>
        <v>407315.42000000004</v>
      </c>
      <c r="K37" s="14">
        <f>H37+I37-J37</f>
        <v>13458.570000000007</v>
      </c>
      <c r="L37" s="15">
        <f t="shared" si="10"/>
        <v>0.99941655803179086</v>
      </c>
      <c r="M37" s="107">
        <f t="shared" si="6"/>
        <v>-2.9103830456733704E-10</v>
      </c>
      <c r="N37" s="284" t="s">
        <v>52</v>
      </c>
      <c r="Q37" s="141"/>
      <c r="R37" s="144"/>
    </row>
    <row r="38" spans="1:18" x14ac:dyDescent="0.2">
      <c r="A38" s="139" t="s">
        <v>57</v>
      </c>
      <c r="B38" s="11">
        <v>1483495.05</v>
      </c>
      <c r="C38" s="11">
        <v>1483495.05</v>
      </c>
      <c r="D38" s="11">
        <v>4256.42</v>
      </c>
      <c r="E38" s="14">
        <v>1461506.21</v>
      </c>
      <c r="F38" s="14">
        <f>+E38/C38</f>
        <v>0.98517767888743535</v>
      </c>
      <c r="G38" s="251">
        <f t="shared" si="8"/>
        <v>26245.260000000009</v>
      </c>
      <c r="H38" s="11">
        <v>26245.26</v>
      </c>
      <c r="I38" s="14">
        <v>0</v>
      </c>
      <c r="J38" s="14">
        <v>0</v>
      </c>
      <c r="K38" s="14">
        <f>H38+I38-J38</f>
        <v>26245.26</v>
      </c>
      <c r="L38" s="15">
        <f>+F38</f>
        <v>0.98517767888743535</v>
      </c>
      <c r="M38" s="107">
        <f t="shared" si="6"/>
        <v>0</v>
      </c>
      <c r="N38" s="284"/>
      <c r="Q38" s="141"/>
      <c r="R38" s="144"/>
    </row>
    <row r="39" spans="1:18" x14ac:dyDescent="0.2">
      <c r="A39" s="139" t="s">
        <v>139</v>
      </c>
      <c r="B39" s="14">
        <v>1364024.1</v>
      </c>
      <c r="C39" s="14">
        <v>1364024.1</v>
      </c>
      <c r="D39" s="11">
        <f>940.83+935.1+658.75</f>
        <v>2534.6800000000003</v>
      </c>
      <c r="E39" s="14">
        <v>1364018.1</v>
      </c>
      <c r="F39" s="14">
        <f>+E39/C39</f>
        <v>0.99999560125074038</v>
      </c>
      <c r="G39" s="251">
        <f t="shared" si="8"/>
        <v>2540.6799999999348</v>
      </c>
      <c r="H39" s="11">
        <v>957353.35</v>
      </c>
      <c r="I39" s="14">
        <v>409205.43</v>
      </c>
      <c r="J39" s="14">
        <v>1364018.1</v>
      </c>
      <c r="K39" s="14">
        <f>H39+I39-J39</f>
        <v>2540.6799999999348</v>
      </c>
      <c r="L39" s="15">
        <f>+F39</f>
        <v>0.99999560125074038</v>
      </c>
      <c r="M39" s="107">
        <f t="shared" si="6"/>
        <v>0</v>
      </c>
      <c r="N39" s="284"/>
      <c r="Q39" s="141"/>
      <c r="R39" s="144"/>
    </row>
    <row r="40" spans="1:18" ht="40.5" x14ac:dyDescent="0.2">
      <c r="A40" s="139" t="s">
        <v>135</v>
      </c>
      <c r="B40" s="11">
        <v>199999.99</v>
      </c>
      <c r="C40" s="11">
        <v>199999.99</v>
      </c>
      <c r="D40" s="11">
        <f>113.52+264.05+123.8+26.23</f>
        <v>527.6</v>
      </c>
      <c r="E40" s="14">
        <v>199730.99</v>
      </c>
      <c r="F40" s="14">
        <f>+E40/C40</f>
        <v>0.99865499993274998</v>
      </c>
      <c r="G40" s="251">
        <f t="shared" si="8"/>
        <v>796.60000000000582</v>
      </c>
      <c r="H40" s="11">
        <v>683.08</v>
      </c>
      <c r="I40" s="14">
        <f>180000+5000</f>
        <v>185000</v>
      </c>
      <c r="J40" s="14">
        <f>102106.79+5000+77779.69</f>
        <v>184886.47999999998</v>
      </c>
      <c r="K40" s="14">
        <f>H40+I40-J40</f>
        <v>796.60000000000582</v>
      </c>
      <c r="L40" s="15">
        <f>+F40</f>
        <v>0.99865499993274998</v>
      </c>
      <c r="M40" s="107">
        <f t="shared" si="6"/>
        <v>0</v>
      </c>
      <c r="N40" s="284"/>
      <c r="Q40" s="141"/>
      <c r="R40" s="144"/>
    </row>
    <row r="41" spans="1:18" s="5" customFormat="1" x14ac:dyDescent="0.2">
      <c r="A41" s="248" t="s">
        <v>60</v>
      </c>
      <c r="B41" s="21">
        <f t="shared" ref="B41:K41" si="11">SUM(B25:B40)</f>
        <v>121081081.11999999</v>
      </c>
      <c r="C41" s="21">
        <f t="shared" si="11"/>
        <v>121081081.11999999</v>
      </c>
      <c r="D41" s="21">
        <f t="shared" si="11"/>
        <v>652337.75000000012</v>
      </c>
      <c r="E41" s="21">
        <f t="shared" si="11"/>
        <v>120413268.35999998</v>
      </c>
      <c r="F41" s="249">
        <f t="shared" si="11"/>
        <v>11.826644702973232</v>
      </c>
      <c r="G41" s="249">
        <f t="shared" si="11"/>
        <v>1320150.5100000035</v>
      </c>
      <c r="H41" s="249">
        <f t="shared" si="11"/>
        <v>29487292.020000003</v>
      </c>
      <c r="I41" s="249">
        <f t="shared" si="11"/>
        <v>3990175.01</v>
      </c>
      <c r="J41" s="249">
        <f t="shared" si="11"/>
        <v>32157316.520000003</v>
      </c>
      <c r="K41" s="249">
        <f t="shared" si="11"/>
        <v>1320150.5100000021</v>
      </c>
      <c r="L41" s="252"/>
      <c r="M41" s="118">
        <f>SUM(M25:M40)</f>
        <v>-1.2877308108727448E-9</v>
      </c>
      <c r="N41" s="203"/>
      <c r="O41" s="143"/>
      <c r="P41" s="143"/>
    </row>
    <row r="42" spans="1:18" s="17" customFormat="1" x14ac:dyDescent="0.25">
      <c r="A42" s="139" t="s">
        <v>18</v>
      </c>
      <c r="B42" s="10">
        <v>9668787.5</v>
      </c>
      <c r="C42" s="10">
        <f>+B42-8808992.11</f>
        <v>859795.3900000006</v>
      </c>
      <c r="D42" s="11">
        <v>0</v>
      </c>
      <c r="E42" s="10">
        <v>126202.22</v>
      </c>
      <c r="F42" s="12">
        <f>+E42/C42</f>
        <v>0.14678168953662327</v>
      </c>
      <c r="G42" s="109">
        <f t="shared" ref="G42:G55" si="12">+C42+D42-E42</f>
        <v>733593.17000000062</v>
      </c>
      <c r="H42" s="11">
        <v>760336.44</v>
      </c>
      <c r="I42" s="14">
        <f>35750.7+49054.32+10000+17400</f>
        <v>112205.01999999999</v>
      </c>
      <c r="J42" s="14">
        <f>42293+3275.91+3277.52+90101.86</f>
        <v>138948.29</v>
      </c>
      <c r="K42" s="14">
        <f>H42+I42-J42</f>
        <v>733593.16999999993</v>
      </c>
      <c r="L42" s="15">
        <f>+F42</f>
        <v>0.14678168953662327</v>
      </c>
      <c r="M42" s="62">
        <f t="shared" ref="M42:M55" si="13">+K42-G42</f>
        <v>0</v>
      </c>
      <c r="N42" s="271"/>
      <c r="O42" s="153"/>
      <c r="P42" s="142"/>
    </row>
    <row r="43" spans="1:18" x14ac:dyDescent="0.2">
      <c r="A43" s="262" t="s">
        <v>20</v>
      </c>
      <c r="B43" s="109">
        <v>27138333.23</v>
      </c>
      <c r="C43" s="109">
        <v>27138333.23</v>
      </c>
      <c r="D43" s="261">
        <v>0</v>
      </c>
      <c r="E43" s="109">
        <f>26415966.23+831927-8117.68</f>
        <v>27239775.550000001</v>
      </c>
      <c r="F43" s="263">
        <f t="shared" ref="F43:F48" si="14">+E43/C43</f>
        <v>1.003737971641083</v>
      </c>
      <c r="G43" s="109">
        <f t="shared" si="12"/>
        <v>-101442.3200000003</v>
      </c>
      <c r="H43" s="264">
        <v>391978.01</v>
      </c>
      <c r="I43" s="201">
        <v>37944</v>
      </c>
      <c r="J43" s="201">
        <f>326678+16708.93+21550.06+166427.34</f>
        <v>531364.32999999996</v>
      </c>
      <c r="K43" s="201">
        <f t="shared" ref="K43:K50" si="15">H43+I43-J43</f>
        <v>-101442.31999999995</v>
      </c>
      <c r="L43" s="265">
        <f t="shared" ref="L43:L55" si="16">+F43</f>
        <v>1.003737971641083</v>
      </c>
      <c r="M43" s="62">
        <f t="shared" si="13"/>
        <v>3.4924596548080444E-10</v>
      </c>
      <c r="N43" s="272"/>
      <c r="O43" s="151"/>
    </row>
    <row r="44" spans="1:18" x14ac:dyDescent="0.2">
      <c r="A44" s="139" t="s">
        <v>21</v>
      </c>
      <c r="B44" s="10">
        <v>321506.03999999998</v>
      </c>
      <c r="C44" s="10">
        <f>+B44-280892.37</f>
        <v>40613.669999999984</v>
      </c>
      <c r="D44" s="11">
        <v>0</v>
      </c>
      <c r="E44" s="11">
        <v>40613.67</v>
      </c>
      <c r="F44" s="12">
        <f t="shared" si="14"/>
        <v>1.0000000000000004</v>
      </c>
      <c r="G44" s="109">
        <f t="shared" si="12"/>
        <v>0</v>
      </c>
      <c r="H44" s="13">
        <v>0</v>
      </c>
      <c r="I44" s="14">
        <v>0</v>
      </c>
      <c r="J44" s="14">
        <v>0</v>
      </c>
      <c r="K44" s="14">
        <f t="shared" si="15"/>
        <v>0</v>
      </c>
      <c r="L44" s="15">
        <f t="shared" si="16"/>
        <v>1.0000000000000004</v>
      </c>
      <c r="M44" s="62">
        <f t="shared" si="13"/>
        <v>0</v>
      </c>
    </row>
    <row r="45" spans="1:18" x14ac:dyDescent="0.2">
      <c r="A45" s="139" t="s">
        <v>22</v>
      </c>
      <c r="B45" s="10">
        <v>570803.89</v>
      </c>
      <c r="C45" s="10">
        <f>+B45-491970.23</f>
        <v>78833.660000000033</v>
      </c>
      <c r="D45" s="11">
        <v>0</v>
      </c>
      <c r="E45" s="11">
        <v>78833.66</v>
      </c>
      <c r="F45" s="12">
        <f t="shared" si="14"/>
        <v>0.99999999999999967</v>
      </c>
      <c r="G45" s="109">
        <f t="shared" si="12"/>
        <v>0</v>
      </c>
      <c r="H45" s="13">
        <v>0</v>
      </c>
      <c r="I45" s="14">
        <v>0</v>
      </c>
      <c r="J45" s="14">
        <v>0</v>
      </c>
      <c r="K45" s="14">
        <f t="shared" si="15"/>
        <v>0</v>
      </c>
      <c r="L45" s="15">
        <f t="shared" si="16"/>
        <v>0.99999999999999967</v>
      </c>
      <c r="M45" s="62">
        <f t="shared" si="13"/>
        <v>0</v>
      </c>
    </row>
    <row r="46" spans="1:18" x14ac:dyDescent="0.2">
      <c r="A46" s="139" t="s">
        <v>23</v>
      </c>
      <c r="B46" s="10">
        <v>1307693.44</v>
      </c>
      <c r="C46" s="10">
        <f>+B46-1273287.15</f>
        <v>34406.290000000037</v>
      </c>
      <c r="D46" s="11">
        <v>0</v>
      </c>
      <c r="E46" s="11">
        <v>34406.29</v>
      </c>
      <c r="F46" s="12">
        <f t="shared" si="14"/>
        <v>0.99999999999999889</v>
      </c>
      <c r="G46" s="109">
        <f t="shared" si="12"/>
        <v>0</v>
      </c>
      <c r="H46" s="13">
        <v>0</v>
      </c>
      <c r="I46" s="14">
        <v>0</v>
      </c>
      <c r="J46" s="14">
        <v>0</v>
      </c>
      <c r="K46" s="14">
        <f t="shared" si="15"/>
        <v>0</v>
      </c>
      <c r="L46" s="15">
        <f t="shared" si="16"/>
        <v>0.99999999999999889</v>
      </c>
      <c r="M46" s="62">
        <f t="shared" si="13"/>
        <v>0</v>
      </c>
    </row>
    <row r="47" spans="1:18" x14ac:dyDescent="0.2">
      <c r="A47" s="139" t="s">
        <v>24</v>
      </c>
      <c r="B47" s="10">
        <v>14234360.859999999</v>
      </c>
      <c r="C47" s="10">
        <f>+B47-14197791.76</f>
        <v>36569.099999999627</v>
      </c>
      <c r="D47" s="11">
        <v>0</v>
      </c>
      <c r="E47" s="10">
        <v>208.8</v>
      </c>
      <c r="F47" s="12">
        <f t="shared" si="14"/>
        <v>5.7097385497592813E-3</v>
      </c>
      <c r="G47" s="109">
        <f t="shared" si="12"/>
        <v>36360.299999999625</v>
      </c>
      <c r="H47" s="13">
        <v>-340080.7</v>
      </c>
      <c r="I47" s="14">
        <v>782752</v>
      </c>
      <c r="J47" s="14">
        <f>280823+125488</f>
        <v>406311</v>
      </c>
      <c r="K47" s="14">
        <f t="shared" si="15"/>
        <v>36360.299999999988</v>
      </c>
      <c r="L47" s="15">
        <f t="shared" si="16"/>
        <v>5.7097385497592813E-3</v>
      </c>
      <c r="M47" s="62">
        <f t="shared" si="13"/>
        <v>3.637978807091713E-10</v>
      </c>
      <c r="O47" s="151"/>
    </row>
    <row r="48" spans="1:18" x14ac:dyDescent="0.2">
      <c r="A48" s="139" t="s">
        <v>25</v>
      </c>
      <c r="B48" s="10">
        <v>658261.61</v>
      </c>
      <c r="C48" s="10">
        <f>+B48-367499.68</f>
        <v>290761.93</v>
      </c>
      <c r="D48" s="11">
        <v>0</v>
      </c>
      <c r="E48" s="10">
        <v>281389.86</v>
      </c>
      <c r="F48" s="12">
        <f t="shared" si="14"/>
        <v>0.96776720391146109</v>
      </c>
      <c r="G48" s="109">
        <f t="shared" si="12"/>
        <v>9372.070000000007</v>
      </c>
      <c r="H48" s="13">
        <v>56340.94</v>
      </c>
      <c r="I48" s="14">
        <v>0</v>
      </c>
      <c r="J48" s="14">
        <v>46968.87</v>
      </c>
      <c r="K48" s="14">
        <f t="shared" si="15"/>
        <v>9372.07</v>
      </c>
      <c r="L48" s="15">
        <f t="shared" si="16"/>
        <v>0.96776720391146109</v>
      </c>
      <c r="M48" s="62">
        <f t="shared" si="13"/>
        <v>0</v>
      </c>
    </row>
    <row r="49" spans="1:18" x14ac:dyDescent="0.2">
      <c r="A49" s="139" t="s">
        <v>53</v>
      </c>
      <c r="B49" s="10">
        <v>158979.12</v>
      </c>
      <c r="C49" s="10">
        <f>+B49</f>
        <v>158979.12</v>
      </c>
      <c r="D49" s="11">
        <v>0</v>
      </c>
      <c r="E49" s="11">
        <v>120000</v>
      </c>
      <c r="F49" s="12">
        <v>0</v>
      </c>
      <c r="G49" s="201">
        <f t="shared" si="12"/>
        <v>38979.119999999995</v>
      </c>
      <c r="H49" s="11">
        <v>43979.12</v>
      </c>
      <c r="I49" s="14">
        <v>0</v>
      </c>
      <c r="J49" s="14">
        <v>5000</v>
      </c>
      <c r="K49" s="14">
        <f t="shared" si="15"/>
        <v>38979.120000000003</v>
      </c>
      <c r="L49" s="15">
        <f t="shared" si="16"/>
        <v>0</v>
      </c>
      <c r="M49" s="62">
        <f t="shared" si="13"/>
        <v>0</v>
      </c>
    </row>
    <row r="50" spans="1:18" x14ac:dyDescent="0.2">
      <c r="A50" s="139" t="s">
        <v>28</v>
      </c>
      <c r="B50" s="10">
        <v>47798.07</v>
      </c>
      <c r="C50" s="10">
        <f>+B50-23516.14</f>
        <v>24281.93</v>
      </c>
      <c r="D50" s="11">
        <v>0</v>
      </c>
      <c r="E50" s="11">
        <v>0</v>
      </c>
      <c r="F50" s="12">
        <v>0</v>
      </c>
      <c r="G50" s="201">
        <f t="shared" si="12"/>
        <v>24281.93</v>
      </c>
      <c r="H50" s="11">
        <v>24281.93</v>
      </c>
      <c r="I50" s="14">
        <v>0</v>
      </c>
      <c r="J50" s="14">
        <v>0</v>
      </c>
      <c r="K50" s="14">
        <f t="shared" si="15"/>
        <v>24281.93</v>
      </c>
      <c r="L50" s="15">
        <f t="shared" si="16"/>
        <v>0</v>
      </c>
      <c r="M50" s="62">
        <f t="shared" si="13"/>
        <v>0</v>
      </c>
      <c r="N50" s="270"/>
    </row>
    <row r="51" spans="1:18" x14ac:dyDescent="0.2">
      <c r="A51" s="139" t="s">
        <v>29</v>
      </c>
      <c r="B51" s="10">
        <v>27972730</v>
      </c>
      <c r="C51" s="10">
        <f>+B51-27809818.06</f>
        <v>162911.94000000134</v>
      </c>
      <c r="D51" s="11">
        <v>186451.15</v>
      </c>
      <c r="E51" s="11">
        <v>0</v>
      </c>
      <c r="F51" s="12">
        <f>+E51/C51</f>
        <v>0</v>
      </c>
      <c r="G51" s="109">
        <f t="shared" si="12"/>
        <v>349363.09000000136</v>
      </c>
      <c r="H51" s="13">
        <v>656033.13</v>
      </c>
      <c r="I51" s="14">
        <f>-1</f>
        <v>-1</v>
      </c>
      <c r="J51" s="14">
        <f>219666.96+67322.53+19679.55</f>
        <v>306669.03999999998</v>
      </c>
      <c r="K51" s="14">
        <f>H51+I51-J51</f>
        <v>349363.09</v>
      </c>
      <c r="L51" s="15">
        <f t="shared" si="16"/>
        <v>0</v>
      </c>
      <c r="M51" s="62">
        <f t="shared" si="13"/>
        <v>-1.3387762010097504E-9</v>
      </c>
      <c r="N51" s="272"/>
    </row>
    <row r="52" spans="1:18" x14ac:dyDescent="0.2">
      <c r="A52" s="139" t="s">
        <v>30</v>
      </c>
      <c r="B52" s="10">
        <v>21170988.52</v>
      </c>
      <c r="C52" s="10">
        <f>+B52-21163370.79</f>
        <v>7617.730000000447</v>
      </c>
      <c r="D52" s="11">
        <v>0</v>
      </c>
      <c r="E52" s="10">
        <v>0</v>
      </c>
      <c r="F52" s="12">
        <f>+E52/C52</f>
        <v>0</v>
      </c>
      <c r="G52" s="109">
        <f t="shared" si="12"/>
        <v>7617.730000000447</v>
      </c>
      <c r="H52" s="13">
        <v>113156.96</v>
      </c>
      <c r="I52" s="14">
        <f>63664.06+25043.71</f>
        <v>88707.76999999999</v>
      </c>
      <c r="J52" s="14">
        <f>170257+6000+17990</f>
        <v>194247</v>
      </c>
      <c r="K52" s="14">
        <f>H52+I52-J52</f>
        <v>7617.7299999999814</v>
      </c>
      <c r="L52" s="15">
        <f t="shared" si="16"/>
        <v>0</v>
      </c>
      <c r="M52" s="107">
        <f t="shared" si="13"/>
        <v>-4.6566128730773926E-10</v>
      </c>
      <c r="N52" s="273"/>
      <c r="Q52" s="141"/>
      <c r="R52" s="144"/>
    </row>
    <row r="53" spans="1:18" ht="27" x14ac:dyDescent="0.2">
      <c r="A53" s="139" t="s">
        <v>56</v>
      </c>
      <c r="B53" s="10">
        <v>1500000</v>
      </c>
      <c r="C53" s="10">
        <f>1500000-1499965.2</f>
        <v>34.800000000046566</v>
      </c>
      <c r="D53" s="11">
        <v>0</v>
      </c>
      <c r="E53" s="10">
        <v>0</v>
      </c>
      <c r="F53" s="12">
        <f>+E53/C53</f>
        <v>0</v>
      </c>
      <c r="G53" s="109">
        <f t="shared" si="12"/>
        <v>34.800000000046566</v>
      </c>
      <c r="H53" s="13">
        <v>34.799999999999997</v>
      </c>
      <c r="I53" s="14">
        <v>0</v>
      </c>
      <c r="J53" s="14">
        <v>0</v>
      </c>
      <c r="K53" s="14">
        <f>H53+I53-J53</f>
        <v>34.799999999999997</v>
      </c>
      <c r="L53" s="15">
        <f t="shared" si="16"/>
        <v>0</v>
      </c>
      <c r="M53" s="107">
        <f t="shared" si="13"/>
        <v>-4.6568970901716966E-11</v>
      </c>
      <c r="N53" s="273"/>
      <c r="Q53" s="141"/>
      <c r="R53" s="144"/>
    </row>
    <row r="54" spans="1:18" x14ac:dyDescent="0.2">
      <c r="A54" s="139" t="s">
        <v>58</v>
      </c>
      <c r="B54" s="10">
        <v>8800000</v>
      </c>
      <c r="C54" s="10">
        <f>+B54-8793327.97</f>
        <v>6672.0299999993294</v>
      </c>
      <c r="D54" s="11">
        <v>0</v>
      </c>
      <c r="E54" s="10">
        <v>0</v>
      </c>
      <c r="F54" s="12">
        <f>+E54/C54</f>
        <v>0</v>
      </c>
      <c r="G54" s="109">
        <f t="shared" si="12"/>
        <v>6672.0299999993294</v>
      </c>
      <c r="H54" s="13">
        <v>136749.53</v>
      </c>
      <c r="I54" s="14">
        <v>0</v>
      </c>
      <c r="J54" s="14">
        <f>75804.55+37902.27+11370.68+5000</f>
        <v>130077.5</v>
      </c>
      <c r="K54" s="14">
        <f>H54+I54-J54</f>
        <v>6672.0299999999988</v>
      </c>
      <c r="L54" s="15">
        <f t="shared" si="16"/>
        <v>0</v>
      </c>
      <c r="M54" s="107">
        <f t="shared" si="13"/>
        <v>6.6938810050487518E-10</v>
      </c>
      <c r="N54" s="273"/>
      <c r="Q54" s="141"/>
      <c r="R54" s="144"/>
    </row>
    <row r="55" spans="1:18" x14ac:dyDescent="0.2">
      <c r="A55" s="139" t="s">
        <v>57</v>
      </c>
      <c r="B55" s="10">
        <v>3362600</v>
      </c>
      <c r="C55" s="10">
        <f>+B55-3361389.36</f>
        <v>1210.6400000001304</v>
      </c>
      <c r="D55" s="11">
        <v>0</v>
      </c>
      <c r="E55" s="10">
        <v>0</v>
      </c>
      <c r="F55" s="12">
        <f>+E55/C55</f>
        <v>0</v>
      </c>
      <c r="G55" s="109">
        <f t="shared" si="12"/>
        <v>1210.6400000001304</v>
      </c>
      <c r="H55" s="13">
        <v>54023.49</v>
      </c>
      <c r="I55" s="14">
        <v>0</v>
      </c>
      <c r="J55" s="14">
        <f>28977.48+14488.74+4346.63+5000</f>
        <v>52812.85</v>
      </c>
      <c r="K55" s="14">
        <f>H55+I55-J55</f>
        <v>1210.6399999999994</v>
      </c>
      <c r="L55" s="15">
        <f t="shared" si="16"/>
        <v>0</v>
      </c>
      <c r="M55" s="107">
        <f t="shared" si="13"/>
        <v>-1.3096723705530167E-10</v>
      </c>
      <c r="N55" s="273"/>
      <c r="Q55" s="141"/>
      <c r="R55" s="144"/>
    </row>
    <row r="56" spans="1:18" s="5" customFormat="1" x14ac:dyDescent="0.2">
      <c r="A56" s="20" t="s">
        <v>51</v>
      </c>
      <c r="B56" s="21">
        <f t="shared" ref="B56:K56" si="17">SUM(B42:B52)</f>
        <v>103250242.27999999</v>
      </c>
      <c r="C56" s="21">
        <f t="shared" si="17"/>
        <v>28833103.990000006</v>
      </c>
      <c r="D56" s="21">
        <f t="shared" si="17"/>
        <v>186451.15</v>
      </c>
      <c r="E56" s="21">
        <f t="shared" si="17"/>
        <v>27921430.050000001</v>
      </c>
      <c r="F56" s="21">
        <f t="shared" si="17"/>
        <v>5.1239966036389255</v>
      </c>
      <c r="G56" s="21">
        <f t="shared" si="17"/>
        <v>1098125.0900000017</v>
      </c>
      <c r="H56" s="21">
        <f t="shared" si="17"/>
        <v>1706025.83</v>
      </c>
      <c r="I56" s="21">
        <f t="shared" si="17"/>
        <v>1021607.79</v>
      </c>
      <c r="J56" s="21">
        <f t="shared" si="17"/>
        <v>1629508.5300000003</v>
      </c>
      <c r="K56" s="21">
        <f t="shared" si="17"/>
        <v>1098125.0899999999</v>
      </c>
      <c r="L56" s="23"/>
      <c r="M56" s="61"/>
      <c r="N56" s="203"/>
      <c r="O56" s="143"/>
      <c r="P56" s="143"/>
    </row>
    <row r="57" spans="1:18" s="17" customFormat="1" x14ac:dyDescent="0.25">
      <c r="A57" s="139" t="s">
        <v>18</v>
      </c>
      <c r="B57" s="10">
        <f>+C57</f>
        <v>557287.6400000006</v>
      </c>
      <c r="C57" s="10">
        <f>9497181.34-8522902.7-416991</f>
        <v>557287.6400000006</v>
      </c>
      <c r="D57" s="11">
        <v>0</v>
      </c>
      <c r="E57" s="10">
        <v>2038.23</v>
      </c>
      <c r="F57" s="12">
        <f>+E57/C57</f>
        <v>3.657411099230548E-3</v>
      </c>
      <c r="G57" s="10">
        <f>+C57+D57-E57</f>
        <v>555249.41000000061</v>
      </c>
      <c r="H57" s="13">
        <f>362224.72-0.47</f>
        <v>362224.25</v>
      </c>
      <c r="I57" s="14">
        <f>22013.2+172259.48</f>
        <v>194272.68000000002</v>
      </c>
      <c r="J57" s="14">
        <f>-4302.52+5550.04</f>
        <v>1247.5199999999995</v>
      </c>
      <c r="K57" s="14">
        <f>H57+I57-J57</f>
        <v>555249.41</v>
      </c>
      <c r="L57" s="15">
        <f>+F57</f>
        <v>3.657411099230548E-3</v>
      </c>
      <c r="M57" s="155">
        <f t="shared" ref="M57:M66" si="18">+K57-G57</f>
        <v>0</v>
      </c>
      <c r="N57" s="187"/>
      <c r="O57" s="142"/>
      <c r="P57" s="142"/>
    </row>
    <row r="58" spans="1:18" x14ac:dyDescent="0.2">
      <c r="A58" s="139" t="s">
        <v>20</v>
      </c>
      <c r="B58" s="10">
        <v>0</v>
      </c>
      <c r="C58" s="10">
        <f>981063.54-174602.54</f>
        <v>806461</v>
      </c>
      <c r="D58" s="11">
        <v>0</v>
      </c>
      <c r="E58" s="10">
        <v>0</v>
      </c>
      <c r="F58" s="12">
        <f t="shared" ref="F58:F67" si="19">+E58/C58</f>
        <v>0</v>
      </c>
      <c r="G58" s="10">
        <f>+C58+D58-E58</f>
        <v>806461</v>
      </c>
      <c r="H58" s="13">
        <v>1795340.56</v>
      </c>
      <c r="I58" s="14">
        <v>1162</v>
      </c>
      <c r="J58" s="14">
        <f>272555.03+160187.53+557299</f>
        <v>990041.56</v>
      </c>
      <c r="K58" s="14">
        <f t="shared" ref="K58:K83" si="20">H58+I58-J58</f>
        <v>806461</v>
      </c>
      <c r="L58" s="15">
        <f t="shared" ref="L58:L67" si="21">+F58</f>
        <v>0</v>
      </c>
      <c r="M58" s="62">
        <f>+K58-G58</f>
        <v>0</v>
      </c>
      <c r="N58" s="272"/>
    </row>
    <row r="59" spans="1:18" x14ac:dyDescent="0.2">
      <c r="A59" s="139" t="s">
        <v>21</v>
      </c>
      <c r="B59" s="10">
        <f t="shared" ref="B59:B67" si="22">+C59</f>
        <v>465.82999999998719</v>
      </c>
      <c r="C59" s="10">
        <f>266576.99-80893-185218.16</f>
        <v>465.82999999998719</v>
      </c>
      <c r="D59" s="11">
        <v>0</v>
      </c>
      <c r="E59" s="10">
        <v>0</v>
      </c>
      <c r="F59" s="12">
        <f t="shared" si="19"/>
        <v>0</v>
      </c>
      <c r="G59" s="10">
        <f>+C59+D59-E59</f>
        <v>465.82999999998719</v>
      </c>
      <c r="H59" s="13">
        <v>465.83</v>
      </c>
      <c r="I59" s="14">
        <v>0</v>
      </c>
      <c r="J59" s="14">
        <v>0</v>
      </c>
      <c r="K59" s="14">
        <f t="shared" si="20"/>
        <v>465.83</v>
      </c>
      <c r="L59" s="15">
        <f t="shared" si="21"/>
        <v>0</v>
      </c>
      <c r="M59" s="155">
        <f t="shared" si="18"/>
        <v>1.2789769243681803E-11</v>
      </c>
    </row>
    <row r="60" spans="1:18" x14ac:dyDescent="0.2">
      <c r="A60" s="139" t="s">
        <v>22</v>
      </c>
      <c r="B60" s="10">
        <f t="shared" si="22"/>
        <v>6067.4599999999627</v>
      </c>
      <c r="C60" s="10">
        <f>375412.66-201977-167368.2</f>
        <v>6067.4599999999627</v>
      </c>
      <c r="D60" s="10">
        <v>149.51</v>
      </c>
      <c r="E60" s="10">
        <v>0</v>
      </c>
      <c r="F60" s="12">
        <f t="shared" si="19"/>
        <v>0</v>
      </c>
      <c r="G60" s="10">
        <f t="shared" ref="G60:G65" si="23">+C60+D60-E60</f>
        <v>6216.969999999963</v>
      </c>
      <c r="H60" s="13">
        <v>6216.97</v>
      </c>
      <c r="I60" s="14">
        <v>0</v>
      </c>
      <c r="J60" s="14">
        <v>0</v>
      </c>
      <c r="K60" s="14">
        <f t="shared" si="20"/>
        <v>6216.97</v>
      </c>
      <c r="L60" s="15">
        <f t="shared" si="21"/>
        <v>0</v>
      </c>
      <c r="M60" s="62">
        <f t="shared" si="18"/>
        <v>3.7289282772690058E-11</v>
      </c>
    </row>
    <row r="61" spans="1:18" x14ac:dyDescent="0.2">
      <c r="A61" s="139" t="s">
        <v>23</v>
      </c>
      <c r="B61" s="10">
        <f t="shared" si="22"/>
        <v>17016.04999999993</v>
      </c>
      <c r="C61" s="10">
        <f>1302246.39-788192.61-497037.73</f>
        <v>17016.04999999993</v>
      </c>
      <c r="D61" s="10">
        <v>408.58</v>
      </c>
      <c r="E61" s="10">
        <v>0</v>
      </c>
      <c r="F61" s="12">
        <f t="shared" si="19"/>
        <v>0</v>
      </c>
      <c r="G61" s="10">
        <f t="shared" si="23"/>
        <v>17424.629999999932</v>
      </c>
      <c r="H61" s="13">
        <v>17424.63</v>
      </c>
      <c r="I61" s="14">
        <v>0</v>
      </c>
      <c r="J61" s="14">
        <v>0</v>
      </c>
      <c r="K61" s="14">
        <f t="shared" si="20"/>
        <v>17424.63</v>
      </c>
      <c r="L61" s="15">
        <f t="shared" si="21"/>
        <v>0</v>
      </c>
      <c r="M61" s="155">
        <f t="shared" si="18"/>
        <v>6.9121597334742546E-11</v>
      </c>
    </row>
    <row r="62" spans="1:18" x14ac:dyDescent="0.2">
      <c r="A62" s="139" t="s">
        <v>24</v>
      </c>
      <c r="B62" s="10">
        <f t="shared" si="22"/>
        <v>412246.5499999997</v>
      </c>
      <c r="C62" s="10">
        <f>13636634.35-13212786.17-11601.63</f>
        <v>412246.5499999997</v>
      </c>
      <c r="D62" s="11">
        <v>-459</v>
      </c>
      <c r="E62" s="10">
        <v>0</v>
      </c>
      <c r="F62" s="12">
        <f t="shared" si="19"/>
        <v>0</v>
      </c>
      <c r="G62" s="10">
        <f>+C62+D62-E62</f>
        <v>411787.5499999997</v>
      </c>
      <c r="H62" s="13">
        <v>37530.339999999997</v>
      </c>
      <c r="I62" s="14">
        <v>456237</v>
      </c>
      <c r="J62" s="14">
        <f>52394.42+7312.79+22272.58</f>
        <v>81979.790000000008</v>
      </c>
      <c r="K62" s="14">
        <f t="shared" si="20"/>
        <v>411787.54999999993</v>
      </c>
      <c r="L62" s="15">
        <f t="shared" si="21"/>
        <v>0</v>
      </c>
      <c r="M62" s="62">
        <f t="shared" si="18"/>
        <v>0</v>
      </c>
    </row>
    <row r="63" spans="1:18" x14ac:dyDescent="0.2">
      <c r="A63" s="139" t="s">
        <v>25</v>
      </c>
      <c r="B63" s="10">
        <f t="shared" si="22"/>
        <v>5151.3900000000722</v>
      </c>
      <c r="C63" s="10">
        <f>868753.03-542712.97-320888.67</f>
        <v>5151.3900000000722</v>
      </c>
      <c r="D63" s="10">
        <v>131.31</v>
      </c>
      <c r="E63" s="10">
        <v>0</v>
      </c>
      <c r="F63" s="12">
        <f t="shared" si="19"/>
        <v>0</v>
      </c>
      <c r="G63" s="10">
        <f t="shared" si="23"/>
        <v>5282.7000000000726</v>
      </c>
      <c r="H63" s="13">
        <v>5282.7</v>
      </c>
      <c r="I63" s="14">
        <v>0</v>
      </c>
      <c r="J63" s="14">
        <v>0</v>
      </c>
      <c r="K63" s="14">
        <f t="shared" si="20"/>
        <v>5282.7</v>
      </c>
      <c r="L63" s="15">
        <f t="shared" si="21"/>
        <v>0</v>
      </c>
      <c r="M63" s="155">
        <f t="shared" si="18"/>
        <v>-7.2759576141834259E-11</v>
      </c>
    </row>
    <row r="64" spans="1:18" x14ac:dyDescent="0.2">
      <c r="A64" s="139" t="s">
        <v>27</v>
      </c>
      <c r="B64" s="10">
        <f t="shared" si="22"/>
        <v>3767.3699999999953</v>
      </c>
      <c r="C64" s="10">
        <f>573447.69-569680.32</f>
        <v>3767.3699999999953</v>
      </c>
      <c r="D64" s="11">
        <v>0</v>
      </c>
      <c r="E64" s="10">
        <v>0</v>
      </c>
      <c r="F64" s="12">
        <f t="shared" si="19"/>
        <v>0</v>
      </c>
      <c r="G64" s="10">
        <f t="shared" si="23"/>
        <v>3767.3699999999953</v>
      </c>
      <c r="H64" s="13">
        <v>3767.37</v>
      </c>
      <c r="I64" s="14">
        <v>0</v>
      </c>
      <c r="J64" s="14">
        <v>0</v>
      </c>
      <c r="K64" s="14">
        <f t="shared" si="20"/>
        <v>3767.37</v>
      </c>
      <c r="L64" s="15">
        <f t="shared" si="21"/>
        <v>0</v>
      </c>
      <c r="M64" s="62">
        <f t="shared" si="18"/>
        <v>4.5474735088646412E-12</v>
      </c>
    </row>
    <row r="65" spans="1:16" x14ac:dyDescent="0.2">
      <c r="A65" s="139" t="s">
        <v>28</v>
      </c>
      <c r="B65" s="10">
        <f t="shared" si="22"/>
        <v>542.31999999999971</v>
      </c>
      <c r="C65" s="10">
        <f>36484.65-0-35942.33</f>
        <v>542.31999999999971</v>
      </c>
      <c r="D65" s="11">
        <v>0</v>
      </c>
      <c r="E65" s="10">
        <v>0</v>
      </c>
      <c r="F65" s="12">
        <f t="shared" si="19"/>
        <v>0</v>
      </c>
      <c r="G65" s="10">
        <f t="shared" si="23"/>
        <v>542.31999999999971</v>
      </c>
      <c r="H65" s="13">
        <v>542.32000000000005</v>
      </c>
      <c r="I65" s="14">
        <v>0</v>
      </c>
      <c r="J65" s="14">
        <v>0</v>
      </c>
      <c r="K65" s="14">
        <f t="shared" si="20"/>
        <v>542.32000000000005</v>
      </c>
      <c r="L65" s="15">
        <f t="shared" si="21"/>
        <v>0</v>
      </c>
      <c r="M65" s="155">
        <f t="shared" si="18"/>
        <v>0</v>
      </c>
    </row>
    <row r="66" spans="1:16" x14ac:dyDescent="0.2">
      <c r="A66" s="139" t="s">
        <v>29</v>
      </c>
      <c r="B66" s="10">
        <f>+C66</f>
        <v>489577.01999999862</v>
      </c>
      <c r="C66" s="10">
        <f>25804148.7-21535015.98-3779555.7</f>
        <v>489577.01999999862</v>
      </c>
      <c r="D66" s="45"/>
      <c r="E66" s="10">
        <v>0</v>
      </c>
      <c r="F66" s="12">
        <f t="shared" si="19"/>
        <v>0</v>
      </c>
      <c r="G66" s="10">
        <f>+C66+D66-E66</f>
        <v>489577.01999999862</v>
      </c>
      <c r="H66" s="13">
        <f>2255525.44-1688966.46</f>
        <v>566558.98</v>
      </c>
      <c r="I66" s="14">
        <v>122706.07</v>
      </c>
      <c r="J66" s="14">
        <f>20016.25+99956.62+61086.68+18628.48</f>
        <v>199688.03</v>
      </c>
      <c r="K66" s="14">
        <f>H66+I66-J66</f>
        <v>489577.02</v>
      </c>
      <c r="L66" s="15">
        <f t="shared" si="21"/>
        <v>0</v>
      </c>
      <c r="M66" s="62">
        <f t="shared" si="18"/>
        <v>1.3969838619232178E-9</v>
      </c>
      <c r="N66" s="272"/>
    </row>
    <row r="67" spans="1:16" x14ac:dyDescent="0.2">
      <c r="A67" s="139" t="s">
        <v>30</v>
      </c>
      <c r="B67" s="10">
        <f t="shared" si="22"/>
        <v>193749.02000000025</v>
      </c>
      <c r="C67" s="10">
        <f>19272341-17976826.68-1101765.3</f>
        <v>193749.02000000025</v>
      </c>
      <c r="D67" s="10">
        <v>4227.0200000000004</v>
      </c>
      <c r="E67" s="10">
        <v>0</v>
      </c>
      <c r="F67" s="12">
        <f t="shared" si="19"/>
        <v>0</v>
      </c>
      <c r="G67" s="10">
        <f>+C67+D67-E67</f>
        <v>197976.04000000024</v>
      </c>
      <c r="H67" s="13">
        <v>171700.75</v>
      </c>
      <c r="I67" s="14">
        <v>296402</v>
      </c>
      <c r="J67" s="14">
        <f>26299+244312.48</f>
        <v>270611.48</v>
      </c>
      <c r="K67" s="14">
        <f>H67+I67-J67</f>
        <v>197491.27000000002</v>
      </c>
      <c r="L67" s="15">
        <f t="shared" si="21"/>
        <v>0</v>
      </c>
      <c r="M67" s="155">
        <f>+K67-G67</f>
        <v>-484.77000000022235</v>
      </c>
      <c r="N67" s="273"/>
    </row>
    <row r="68" spans="1:16" s="5" customFormat="1" x14ac:dyDescent="0.2">
      <c r="A68" s="20" t="s">
        <v>33</v>
      </c>
      <c r="B68" s="21">
        <f>SUM(B57:B67)</f>
        <v>1685870.649999999</v>
      </c>
      <c r="C68" s="21">
        <f>SUM(C57:C67)</f>
        <v>2492331.6499999994</v>
      </c>
      <c r="D68" s="21">
        <f>SUM(D57:D67)</f>
        <v>4457.42</v>
      </c>
      <c r="E68" s="21">
        <f>SUM(E57:E67)</f>
        <v>2038.23</v>
      </c>
      <c r="F68" s="22">
        <f>+E68/C68</f>
        <v>8.178004721000917E-4</v>
      </c>
      <c r="G68" s="21">
        <f>SUM(G57:G67)</f>
        <v>2494750.8399999989</v>
      </c>
      <c r="H68" s="21">
        <f>SUM(H57:H67)</f>
        <v>2967054.7</v>
      </c>
      <c r="I68" s="21">
        <f>SUM(I57:I67)</f>
        <v>1070779.75</v>
      </c>
      <c r="J68" s="21">
        <f>SUM(J57:J67)</f>
        <v>1543568.3800000001</v>
      </c>
      <c r="K68" s="21">
        <f>SUM(K57:K67)</f>
        <v>2494266.0700000003</v>
      </c>
      <c r="L68" s="23"/>
      <c r="M68" s="62">
        <f t="shared" ref="M68:M84" si="24">+K68-G68</f>
        <v>-484.76999999862164</v>
      </c>
      <c r="N68" s="203"/>
      <c r="O68" s="143"/>
      <c r="P68" s="143"/>
    </row>
    <row r="69" spans="1:16" x14ac:dyDescent="0.2">
      <c r="A69" s="139" t="s">
        <v>34</v>
      </c>
      <c r="B69" s="10">
        <v>0</v>
      </c>
      <c r="C69" s="10">
        <v>256006.06</v>
      </c>
      <c r="D69" s="13">
        <v>440.75</v>
      </c>
      <c r="E69" s="10">
        <v>0</v>
      </c>
      <c r="F69" s="12">
        <v>0</v>
      </c>
      <c r="G69" s="10">
        <f>+C69+D69-E69</f>
        <v>256446.81</v>
      </c>
      <c r="H69" s="10">
        <v>238695.02</v>
      </c>
      <c r="I69" s="10">
        <v>30099.8</v>
      </c>
      <c r="J69" s="10">
        <v>12348.01</v>
      </c>
      <c r="K69" s="10">
        <f t="shared" si="20"/>
        <v>256446.81</v>
      </c>
      <c r="L69" s="15"/>
      <c r="M69" s="62">
        <f t="shared" si="24"/>
        <v>0</v>
      </c>
    </row>
    <row r="70" spans="1:16" x14ac:dyDescent="0.2">
      <c r="A70" s="20" t="s">
        <v>35</v>
      </c>
      <c r="B70" s="25">
        <f t="shared" ref="B70:K70" si="25">SUM(B69:B69)</f>
        <v>0</v>
      </c>
      <c r="C70" s="25">
        <f t="shared" si="25"/>
        <v>256006.06</v>
      </c>
      <c r="D70" s="25">
        <f t="shared" si="25"/>
        <v>440.75</v>
      </c>
      <c r="E70" s="25">
        <f t="shared" si="25"/>
        <v>0</v>
      </c>
      <c r="F70" s="25">
        <f t="shared" si="25"/>
        <v>0</v>
      </c>
      <c r="G70" s="25">
        <f t="shared" si="25"/>
        <v>256446.81</v>
      </c>
      <c r="H70" s="25">
        <f t="shared" si="25"/>
        <v>238695.02</v>
      </c>
      <c r="I70" s="25">
        <f t="shared" si="25"/>
        <v>30099.8</v>
      </c>
      <c r="J70" s="25">
        <f t="shared" si="25"/>
        <v>12348.01</v>
      </c>
      <c r="K70" s="25">
        <f t="shared" si="25"/>
        <v>256446.81</v>
      </c>
      <c r="L70" s="27"/>
      <c r="M70" s="62">
        <f t="shared" si="24"/>
        <v>0</v>
      </c>
    </row>
    <row r="71" spans="1:16" x14ac:dyDescent="0.2">
      <c r="A71" s="13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0.47</v>
      </c>
      <c r="H71" s="10">
        <v>0.47</v>
      </c>
      <c r="I71" s="10">
        <v>0</v>
      </c>
      <c r="J71" s="10">
        <v>0</v>
      </c>
      <c r="K71" s="10">
        <f t="shared" si="20"/>
        <v>0.47</v>
      </c>
      <c r="L71" s="15"/>
      <c r="M71" s="62">
        <f t="shared" si="24"/>
        <v>0</v>
      </c>
    </row>
    <row r="72" spans="1:16" x14ac:dyDescent="0.2">
      <c r="A72" s="139" t="s">
        <v>29</v>
      </c>
      <c r="B72" s="10">
        <v>0</v>
      </c>
      <c r="C72" s="10">
        <v>0</v>
      </c>
      <c r="D72" s="10">
        <v>0</v>
      </c>
      <c r="E72" s="10">
        <v>0</v>
      </c>
      <c r="F72" s="12">
        <v>0</v>
      </c>
      <c r="G72" s="10">
        <v>17.399999999999999</v>
      </c>
      <c r="H72" s="10">
        <v>17.399999999999999</v>
      </c>
      <c r="I72" s="10"/>
      <c r="J72" s="10">
        <v>0</v>
      </c>
      <c r="K72" s="10">
        <f t="shared" si="20"/>
        <v>17.399999999999999</v>
      </c>
      <c r="L72" s="15"/>
      <c r="M72" s="62">
        <f t="shared" si="24"/>
        <v>0</v>
      </c>
    </row>
    <row r="73" spans="1:16" x14ac:dyDescent="0.2">
      <c r="A73" s="20" t="s">
        <v>37</v>
      </c>
      <c r="B73" s="25">
        <f t="shared" ref="B73:K73" si="26">SUM(B71:B72)</f>
        <v>0</v>
      </c>
      <c r="C73" s="25">
        <f t="shared" si="26"/>
        <v>0</v>
      </c>
      <c r="D73" s="25">
        <f t="shared" si="26"/>
        <v>0</v>
      </c>
      <c r="E73" s="25">
        <f t="shared" si="26"/>
        <v>0</v>
      </c>
      <c r="F73" s="25">
        <f t="shared" si="26"/>
        <v>0</v>
      </c>
      <c r="G73" s="25">
        <f t="shared" si="26"/>
        <v>17.869999999999997</v>
      </c>
      <c r="H73" s="25">
        <f t="shared" si="26"/>
        <v>17.869999999999997</v>
      </c>
      <c r="I73" s="25">
        <f t="shared" si="26"/>
        <v>0</v>
      </c>
      <c r="J73" s="25">
        <f t="shared" si="26"/>
        <v>0</v>
      </c>
      <c r="K73" s="25">
        <f t="shared" si="26"/>
        <v>17.869999999999997</v>
      </c>
      <c r="L73" s="27"/>
      <c r="M73" s="62">
        <f>+K73-G73</f>
        <v>0</v>
      </c>
    </row>
    <row r="74" spans="1:16" x14ac:dyDescent="0.2">
      <c r="A74" s="139" t="s">
        <v>18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1392</v>
      </c>
      <c r="H74" s="10">
        <v>1392</v>
      </c>
      <c r="I74" s="10">
        <v>0</v>
      </c>
      <c r="J74" s="10">
        <v>0</v>
      </c>
      <c r="K74" s="10">
        <f t="shared" si="20"/>
        <v>1392</v>
      </c>
      <c r="L74" s="15"/>
      <c r="M74" s="62">
        <f t="shared" si="24"/>
        <v>0</v>
      </c>
    </row>
    <row r="75" spans="1:16" x14ac:dyDescent="0.2">
      <c r="A75" s="139" t="s">
        <v>20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382.8</v>
      </c>
      <c r="H75" s="10">
        <v>382.8</v>
      </c>
      <c r="I75" s="10">
        <v>0</v>
      </c>
      <c r="J75" s="10">
        <v>0</v>
      </c>
      <c r="K75" s="10">
        <f t="shared" si="20"/>
        <v>382.8</v>
      </c>
      <c r="L75" s="15"/>
      <c r="M75" s="62">
        <f t="shared" si="24"/>
        <v>0</v>
      </c>
    </row>
    <row r="76" spans="1:16" x14ac:dyDescent="0.2">
      <c r="A76" s="139" t="s">
        <v>29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242057.67</v>
      </c>
      <c r="H76" s="10">
        <v>242057.67</v>
      </c>
      <c r="I76" s="10">
        <v>0</v>
      </c>
      <c r="J76" s="10">
        <v>0</v>
      </c>
      <c r="K76" s="10">
        <f t="shared" si="20"/>
        <v>242057.67</v>
      </c>
      <c r="L76" s="15"/>
      <c r="M76" s="62">
        <f t="shared" si="24"/>
        <v>0</v>
      </c>
    </row>
    <row r="77" spans="1:16" x14ac:dyDescent="0.2">
      <c r="A77" s="20" t="s">
        <v>38</v>
      </c>
      <c r="B77" s="25">
        <f t="shared" ref="B77:K77" si="27">SUM(B74:B76)</f>
        <v>0</v>
      </c>
      <c r="C77" s="25">
        <f t="shared" si="27"/>
        <v>0</v>
      </c>
      <c r="D77" s="25">
        <f t="shared" si="27"/>
        <v>0</v>
      </c>
      <c r="E77" s="25">
        <f t="shared" si="27"/>
        <v>0</v>
      </c>
      <c r="F77" s="25">
        <f t="shared" si="27"/>
        <v>0</v>
      </c>
      <c r="G77" s="25">
        <f t="shared" si="27"/>
        <v>243832.47</v>
      </c>
      <c r="H77" s="25">
        <f t="shared" si="27"/>
        <v>243832.47</v>
      </c>
      <c r="I77" s="25">
        <f t="shared" si="27"/>
        <v>0</v>
      </c>
      <c r="J77" s="25">
        <f t="shared" si="27"/>
        <v>0</v>
      </c>
      <c r="K77" s="25">
        <f t="shared" si="27"/>
        <v>243832.47</v>
      </c>
      <c r="L77" s="27"/>
      <c r="M77" s="62">
        <f t="shared" si="24"/>
        <v>0</v>
      </c>
    </row>
    <row r="78" spans="1:16" x14ac:dyDescent="0.2">
      <c r="A78" s="139" t="s">
        <v>36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-10</v>
      </c>
      <c r="H78" s="10">
        <v>-10</v>
      </c>
      <c r="I78" s="10">
        <v>0</v>
      </c>
      <c r="J78" s="10">
        <v>0</v>
      </c>
      <c r="K78" s="10">
        <f t="shared" si="20"/>
        <v>-10</v>
      </c>
      <c r="L78" s="15"/>
      <c r="M78" s="62">
        <f t="shared" si="24"/>
        <v>0</v>
      </c>
    </row>
    <row r="79" spans="1:16" x14ac:dyDescent="0.2">
      <c r="A79" s="139" t="s">
        <v>20</v>
      </c>
      <c r="B79" s="10">
        <v>0</v>
      </c>
      <c r="C79" s="10">
        <v>0</v>
      </c>
      <c r="D79" s="10"/>
      <c r="E79" s="10">
        <v>0</v>
      </c>
      <c r="F79" s="12">
        <v>0</v>
      </c>
      <c r="G79" s="10">
        <v>219.47</v>
      </c>
      <c r="H79" s="10">
        <v>219.47</v>
      </c>
      <c r="I79" s="10">
        <v>0</v>
      </c>
      <c r="J79" s="10">
        <v>0</v>
      </c>
      <c r="K79" s="10">
        <f t="shared" si="20"/>
        <v>219.47</v>
      </c>
      <c r="L79" s="15"/>
      <c r="M79" s="62">
        <f t="shared" si="24"/>
        <v>0</v>
      </c>
    </row>
    <row r="80" spans="1:16" x14ac:dyDescent="0.2">
      <c r="A80" s="139" t="s">
        <v>24</v>
      </c>
      <c r="B80" s="10">
        <v>0</v>
      </c>
      <c r="C80" s="10">
        <v>0</v>
      </c>
      <c r="D80" s="10"/>
      <c r="E80" s="10">
        <v>0</v>
      </c>
      <c r="F80" s="12">
        <v>0</v>
      </c>
      <c r="G80" s="10">
        <v>1150.8900000000001</v>
      </c>
      <c r="H80" s="10">
        <v>42631.81</v>
      </c>
      <c r="I80" s="10">
        <v>412765.08</v>
      </c>
      <c r="J80" s="10">
        <v>454246</v>
      </c>
      <c r="K80" s="10">
        <f t="shared" si="20"/>
        <v>1150.890000000014</v>
      </c>
      <c r="L80" s="15"/>
      <c r="M80" s="62">
        <f t="shared" si="24"/>
        <v>1.3869794202037156E-11</v>
      </c>
    </row>
    <row r="81" spans="1:13" x14ac:dyDescent="0.2">
      <c r="A81" s="139" t="s">
        <v>25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719.87</v>
      </c>
      <c r="H81" s="10">
        <v>719.87</v>
      </c>
      <c r="I81" s="10">
        <v>0</v>
      </c>
      <c r="J81" s="10">
        <v>0</v>
      </c>
      <c r="K81" s="10">
        <f t="shared" si="20"/>
        <v>719.87</v>
      </c>
      <c r="L81" s="15"/>
      <c r="M81" s="62">
        <f t="shared" si="24"/>
        <v>0</v>
      </c>
    </row>
    <row r="82" spans="1:13" x14ac:dyDescent="0.2">
      <c r="A82" s="139" t="s">
        <v>27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267528.84000000003</v>
      </c>
      <c r="H82" s="10">
        <v>0</v>
      </c>
      <c r="I82" s="10">
        <v>267528.84000000003</v>
      </c>
      <c r="J82" s="10">
        <v>0</v>
      </c>
      <c r="K82" s="10">
        <f t="shared" si="20"/>
        <v>267528.84000000003</v>
      </c>
      <c r="L82" s="15"/>
      <c r="M82" s="62">
        <f t="shared" si="24"/>
        <v>0</v>
      </c>
    </row>
    <row r="83" spans="1:13" x14ac:dyDescent="0.2">
      <c r="A83" s="139" t="s">
        <v>29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236767.4</v>
      </c>
      <c r="H83" s="10">
        <v>243581.68</v>
      </c>
      <c r="I83" s="10">
        <v>0</v>
      </c>
      <c r="J83" s="10">
        <f>2827.74+3986.54</f>
        <v>6814.28</v>
      </c>
      <c r="K83" s="10">
        <f t="shared" si="20"/>
        <v>236767.4</v>
      </c>
      <c r="L83" s="15"/>
      <c r="M83" s="62">
        <f t="shared" si="24"/>
        <v>0</v>
      </c>
    </row>
    <row r="84" spans="1:13" x14ac:dyDescent="0.2">
      <c r="A84" s="20" t="s">
        <v>39</v>
      </c>
      <c r="B84" s="25">
        <f t="shared" ref="B84:K84" si="28">SUM(B78:B83)</f>
        <v>0</v>
      </c>
      <c r="C84" s="25">
        <f t="shared" si="28"/>
        <v>0</v>
      </c>
      <c r="D84" s="25">
        <f t="shared" si="28"/>
        <v>0</v>
      </c>
      <c r="E84" s="25">
        <f t="shared" si="28"/>
        <v>0</v>
      </c>
      <c r="F84" s="25">
        <f t="shared" si="28"/>
        <v>0</v>
      </c>
      <c r="G84" s="25">
        <f t="shared" si="28"/>
        <v>506376.47</v>
      </c>
      <c r="H84" s="25">
        <f t="shared" si="28"/>
        <v>287142.83</v>
      </c>
      <c r="I84" s="25">
        <f t="shared" si="28"/>
        <v>680293.92</v>
      </c>
      <c r="J84" s="25">
        <f t="shared" si="28"/>
        <v>461060.28</v>
      </c>
      <c r="K84" s="25">
        <f t="shared" si="28"/>
        <v>506376.47000000009</v>
      </c>
      <c r="L84" s="27"/>
      <c r="M84" s="62">
        <f t="shared" si="24"/>
        <v>0</v>
      </c>
    </row>
    <row r="85" spans="1:13" x14ac:dyDescent="0.25">
      <c r="A85" s="20" t="s">
        <v>44</v>
      </c>
      <c r="B85" s="25">
        <f t="shared" ref="B85:K85" si="29">+B56+B68+B70+B73+B77+B84</f>
        <v>104936112.92999999</v>
      </c>
      <c r="C85" s="25">
        <f t="shared" si="29"/>
        <v>31581441.700000003</v>
      </c>
      <c r="D85" s="25">
        <f t="shared" si="29"/>
        <v>191349.32</v>
      </c>
      <c r="E85" s="25">
        <f t="shared" si="29"/>
        <v>27923468.280000001</v>
      </c>
      <c r="F85" s="25">
        <f t="shared" si="29"/>
        <v>5.1248144041110253</v>
      </c>
      <c r="G85" s="25">
        <f t="shared" si="29"/>
        <v>4599549.5500000007</v>
      </c>
      <c r="H85" s="25">
        <f t="shared" si="29"/>
        <v>5442768.7199999997</v>
      </c>
      <c r="I85" s="25">
        <f t="shared" si="29"/>
        <v>2802781.26</v>
      </c>
      <c r="J85" s="25">
        <f t="shared" si="29"/>
        <v>3646485.2</v>
      </c>
      <c r="K85" s="25">
        <f t="shared" si="29"/>
        <v>4599064.78</v>
      </c>
      <c r="L85" s="27"/>
    </row>
    <row r="86" spans="1:13" x14ac:dyDescent="0.25">
      <c r="A86" s="28"/>
      <c r="B86" s="29"/>
      <c r="C86" s="29"/>
      <c r="D86" s="29"/>
      <c r="E86" s="28"/>
      <c r="F86" s="28"/>
      <c r="G86" s="28"/>
      <c r="H86" s="28"/>
      <c r="I86" s="28"/>
      <c r="J86" s="28"/>
      <c r="K86" s="28"/>
      <c r="L86" s="30"/>
    </row>
    <row r="87" spans="1:13" x14ac:dyDescent="0.25">
      <c r="A87" s="140"/>
      <c r="B87" s="19"/>
      <c r="C87" s="333" t="s">
        <v>45</v>
      </c>
      <c r="D87" s="333"/>
      <c r="E87" s="333"/>
      <c r="F87" s="333"/>
      <c r="G87" s="333"/>
      <c r="H87" s="333"/>
      <c r="I87" s="333"/>
      <c r="J87" s="19"/>
      <c r="K87" s="19"/>
      <c r="L87" s="19"/>
    </row>
    <row r="88" spans="1:13" x14ac:dyDescent="0.25">
      <c r="A88" s="140"/>
      <c r="B88" s="19"/>
      <c r="C88" s="289"/>
      <c r="D88" s="289"/>
      <c r="E88" s="289"/>
      <c r="F88" s="289"/>
      <c r="G88" s="289"/>
      <c r="H88" s="289"/>
      <c r="I88" s="289"/>
      <c r="J88" s="19"/>
      <c r="K88" s="19"/>
      <c r="L88" s="19"/>
    </row>
    <row r="89" spans="1:13" x14ac:dyDescent="0.25">
      <c r="A89" s="140"/>
      <c r="B89" s="325" t="s">
        <v>46</v>
      </c>
      <c r="C89" s="325"/>
      <c r="D89" s="326" t="s">
        <v>47</v>
      </c>
      <c r="E89" s="327"/>
      <c r="F89" s="328"/>
      <c r="G89" s="320" t="s">
        <v>48</v>
      </c>
      <c r="H89" s="320"/>
      <c r="I89" s="291" t="s">
        <v>10</v>
      </c>
      <c r="J89" s="19"/>
      <c r="K89" s="19"/>
      <c r="L89" s="19"/>
    </row>
    <row r="90" spans="1:13" x14ac:dyDescent="0.25">
      <c r="A90" s="140"/>
      <c r="B90" s="329" t="s">
        <v>49</v>
      </c>
      <c r="C90" s="329"/>
      <c r="D90" s="330">
        <v>9000000</v>
      </c>
      <c r="E90" s="331"/>
      <c r="F90" s="332">
        <v>0</v>
      </c>
      <c r="G90" s="330">
        <v>0</v>
      </c>
      <c r="H90" s="332"/>
      <c r="I90" s="33">
        <f>G90/D90</f>
        <v>0</v>
      </c>
      <c r="J90" s="19"/>
      <c r="K90" s="19"/>
      <c r="L90" s="19"/>
    </row>
    <row r="91" spans="1:13" x14ac:dyDescent="0.25">
      <c r="A91" s="140"/>
      <c r="B91" s="320"/>
      <c r="C91" s="320"/>
      <c r="D91" s="321"/>
      <c r="E91" s="322"/>
      <c r="F91" s="323"/>
      <c r="G91" s="324"/>
      <c r="H91" s="324"/>
      <c r="I91" s="292"/>
      <c r="J91" s="19"/>
      <c r="K91" s="19"/>
      <c r="L91" s="19"/>
    </row>
    <row r="92" spans="1:13" x14ac:dyDescent="0.25">
      <c r="A92" s="140"/>
      <c r="B92" s="320"/>
      <c r="C92" s="320"/>
      <c r="D92" s="321"/>
      <c r="E92" s="322"/>
      <c r="F92" s="323"/>
      <c r="G92" s="324"/>
      <c r="H92" s="324"/>
      <c r="I92" s="292"/>
      <c r="J92" s="19"/>
      <c r="K92" s="19"/>
      <c r="L92" s="19"/>
    </row>
    <row r="93" spans="1:13" x14ac:dyDescent="0.25">
      <c r="A93" s="140"/>
      <c r="B93" s="320"/>
      <c r="C93" s="320"/>
      <c r="D93" s="321"/>
      <c r="E93" s="322"/>
      <c r="F93" s="323"/>
      <c r="G93" s="324"/>
      <c r="H93" s="324"/>
      <c r="I93" s="292"/>
      <c r="J93" s="19"/>
      <c r="K93" s="19"/>
      <c r="L93" s="19"/>
    </row>
    <row r="94" spans="1:13" x14ac:dyDescent="0.25">
      <c r="A94" s="35" t="s">
        <v>50</v>
      </c>
      <c r="B94" s="36"/>
      <c r="C94" s="36"/>
      <c r="D94" s="36"/>
      <c r="E94" s="36"/>
      <c r="F94" s="36"/>
      <c r="G94" s="37"/>
      <c r="H94" s="37"/>
      <c r="I94" s="38"/>
      <c r="J94" s="19"/>
      <c r="K94" s="19"/>
      <c r="L94" s="19"/>
    </row>
    <row r="96" spans="1:13" x14ac:dyDescent="0.25">
      <c r="C96" s="342" t="s">
        <v>125</v>
      </c>
      <c r="D96" s="342"/>
      <c r="I96" s="342" t="s">
        <v>128</v>
      </c>
      <c r="J96" s="342"/>
    </row>
    <row r="99" spans="3:10" x14ac:dyDescent="0.25">
      <c r="C99" s="342" t="s">
        <v>126</v>
      </c>
      <c r="D99" s="342"/>
      <c r="I99" s="342" t="s">
        <v>129</v>
      </c>
      <c r="J99" s="342"/>
    </row>
    <row r="100" spans="3:10" x14ac:dyDescent="0.25">
      <c r="C100" s="342" t="s">
        <v>127</v>
      </c>
      <c r="D100" s="342"/>
      <c r="I100" s="342" t="s">
        <v>130</v>
      </c>
      <c r="J100" s="342"/>
    </row>
  </sheetData>
  <mergeCells count="39">
    <mergeCell ref="B92:C92"/>
    <mergeCell ref="D92:F92"/>
    <mergeCell ref="G92:H92"/>
    <mergeCell ref="C100:D100"/>
    <mergeCell ref="I100:J100"/>
    <mergeCell ref="B93:C93"/>
    <mergeCell ref="D93:F93"/>
    <mergeCell ref="G93:H93"/>
    <mergeCell ref="C96:D96"/>
    <mergeCell ref="I96:J96"/>
    <mergeCell ref="C99:D99"/>
    <mergeCell ref="I99:J99"/>
    <mergeCell ref="B90:C90"/>
    <mergeCell ref="D90:F90"/>
    <mergeCell ref="G90:H90"/>
    <mergeCell ref="B91:C91"/>
    <mergeCell ref="D91:F91"/>
    <mergeCell ref="G91:H91"/>
    <mergeCell ref="J9:J10"/>
    <mergeCell ref="K9:K10"/>
    <mergeCell ref="B89:C89"/>
    <mergeCell ref="D89:F89"/>
    <mergeCell ref="G89:H89"/>
    <mergeCell ref="C87:I87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A1:L1"/>
    <mergeCell ref="A3:L3"/>
    <mergeCell ref="A6:L6"/>
    <mergeCell ref="A7:L7"/>
    <mergeCell ref="C8:G8"/>
    <mergeCell ref="H8:K8"/>
  </mergeCells>
  <pageMargins left="0.7" right="0.7" top="0.75" bottom="0.75" header="0.3" footer="0.3"/>
  <pageSetup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101"/>
  <sheetViews>
    <sheetView workbookViewId="0">
      <selection activeCell="H24" sqref="H24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24.28515625" style="165" customWidth="1"/>
    <col min="14" max="14" width="16.5703125" style="186" customWidth="1"/>
    <col min="15" max="16" width="16.5703125" style="141"/>
    <col min="17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6" x14ac:dyDescent="0.25">
      <c r="A1" s="334" t="s">
        <v>146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6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334" t="s">
        <v>147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6" x14ac:dyDescent="0.25">
      <c r="A4" s="3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6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</row>
    <row r="6" spans="1:16" x14ac:dyDescent="0.25">
      <c r="A6" s="334" t="s">
        <v>146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6" x14ac:dyDescent="0.25">
      <c r="A7" s="334" t="s">
        <v>178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6" x14ac:dyDescent="0.25">
      <c r="C8" s="349" t="s">
        <v>3</v>
      </c>
      <c r="D8" s="350"/>
      <c r="E8" s="350"/>
      <c r="F8" s="350"/>
      <c r="G8" s="351"/>
      <c r="H8" s="349" t="s">
        <v>4</v>
      </c>
      <c r="I8" s="350"/>
      <c r="J8" s="350"/>
      <c r="K8" s="351"/>
    </row>
    <row r="9" spans="1:16" s="17" customFormat="1" ht="18" customHeight="1" x14ac:dyDescent="0.25">
      <c r="A9" s="337" t="s">
        <v>5</v>
      </c>
      <c r="B9" s="337" t="s">
        <v>6</v>
      </c>
      <c r="C9" s="337" t="s">
        <v>7</v>
      </c>
      <c r="D9" s="337" t="s">
        <v>8</v>
      </c>
      <c r="E9" s="337" t="s">
        <v>9</v>
      </c>
      <c r="F9" s="337" t="s">
        <v>10</v>
      </c>
      <c r="G9" s="337" t="s">
        <v>11</v>
      </c>
      <c r="H9" s="337" t="s">
        <v>12</v>
      </c>
      <c r="I9" s="337" t="s">
        <v>13</v>
      </c>
      <c r="J9" s="337" t="s">
        <v>14</v>
      </c>
      <c r="K9" s="337" t="s">
        <v>15</v>
      </c>
      <c r="L9" s="8" t="s">
        <v>16</v>
      </c>
      <c r="M9" s="166"/>
      <c r="N9" s="187"/>
      <c r="O9" s="142"/>
      <c r="P9" s="142"/>
    </row>
    <row r="10" spans="1:16" x14ac:dyDescent="0.25">
      <c r="A10" s="338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8" t="s">
        <v>17</v>
      </c>
      <c r="O10" s="151"/>
    </row>
    <row r="11" spans="1:16" s="17" customFormat="1" x14ac:dyDescent="0.25">
      <c r="A11" s="139" t="s">
        <v>18</v>
      </c>
      <c r="B11" s="14">
        <v>12913787.119999999</v>
      </c>
      <c r="C11" s="302">
        <f>7030050.88+430349.05</f>
        <v>7460399.9299999997</v>
      </c>
      <c r="D11" s="303">
        <v>2092.73</v>
      </c>
      <c r="E11" s="302">
        <v>7105573.5499999998</v>
      </c>
      <c r="F11" s="14">
        <f>+E11/C11</f>
        <v>0.95243869184905749</v>
      </c>
      <c r="G11" s="302">
        <f>+C11+D11-E11</f>
        <v>356919.11000000034</v>
      </c>
      <c r="H11" s="303">
        <f>96749.24+181477.87</f>
        <v>278227.11</v>
      </c>
      <c r="I11" s="302">
        <f>14652+80486</f>
        <v>95138</v>
      </c>
      <c r="J11" s="302">
        <f>8546+7900</f>
        <v>16446</v>
      </c>
      <c r="K11" s="302">
        <f>H11+I11-J11</f>
        <v>356919.11</v>
      </c>
      <c r="L11" s="306">
        <f>+F11</f>
        <v>0.95243869184905749</v>
      </c>
      <c r="M11" s="305">
        <f t="shared" ref="M11:M24" si="0">+K11-G11</f>
        <v>0</v>
      </c>
      <c r="N11" s="278"/>
      <c r="O11" s="153"/>
      <c r="P11" s="142"/>
    </row>
    <row r="12" spans="1:16" x14ac:dyDescent="0.2">
      <c r="A12" s="139" t="s">
        <v>20</v>
      </c>
      <c r="B12" s="14">
        <v>32998147</v>
      </c>
      <c r="C12" s="303">
        <v>16648319.550000001</v>
      </c>
      <c r="D12" s="303">
        <v>5.95</v>
      </c>
      <c r="E12" s="302">
        <v>16622008.07</v>
      </c>
      <c r="F12" s="14">
        <f t="shared" ref="F12:F17" si="1">+E12/C12</f>
        <v>0.99841957142154925</v>
      </c>
      <c r="G12" s="302">
        <f>+C12+D12-E12</f>
        <v>26317.429999999702</v>
      </c>
      <c r="H12" s="303">
        <f>40000+428486.53</f>
        <v>468486.53</v>
      </c>
      <c r="I12" s="302">
        <f>20486+43350.9</f>
        <v>63836.9</v>
      </c>
      <c r="J12" s="302">
        <f>260856+245150</f>
        <v>506006</v>
      </c>
      <c r="K12" s="302">
        <f t="shared" ref="K12:K21" si="2">H12+I12-J12</f>
        <v>26317.430000000051</v>
      </c>
      <c r="L12" s="304">
        <f t="shared" ref="L12:L23" si="3">+F12</f>
        <v>0.99841957142154925</v>
      </c>
      <c r="M12" s="305">
        <f t="shared" si="0"/>
        <v>3.4924596548080444E-10</v>
      </c>
      <c r="N12" s="279"/>
      <c r="O12" s="151"/>
    </row>
    <row r="13" spans="1:16" x14ac:dyDescent="0.2">
      <c r="A13" s="139" t="s">
        <v>21</v>
      </c>
      <c r="B13" s="14">
        <v>260781</v>
      </c>
      <c r="C13" s="303">
        <v>199347.92</v>
      </c>
      <c r="D13" s="303">
        <v>0</v>
      </c>
      <c r="E13" s="303">
        <v>172144</v>
      </c>
      <c r="F13" s="14">
        <f t="shared" si="1"/>
        <v>0.86353547104981077</v>
      </c>
      <c r="G13" s="302">
        <f t="shared" ref="G13:G24" si="4">+C13+D13-E13</f>
        <v>27203.920000000013</v>
      </c>
      <c r="H13" s="303">
        <v>27203.919999999998</v>
      </c>
      <c r="I13" s="302">
        <v>0</v>
      </c>
      <c r="J13" s="302">
        <v>0</v>
      </c>
      <c r="K13" s="302">
        <f t="shared" si="2"/>
        <v>27203.919999999998</v>
      </c>
      <c r="L13" s="304">
        <f t="shared" si="3"/>
        <v>0.86353547104981077</v>
      </c>
      <c r="M13" s="305">
        <f t="shared" si="0"/>
        <v>0</v>
      </c>
      <c r="N13" s="280"/>
    </row>
    <row r="14" spans="1:16" x14ac:dyDescent="0.2">
      <c r="A14" s="139" t="s">
        <v>22</v>
      </c>
      <c r="B14" s="14">
        <v>710600</v>
      </c>
      <c r="C14" s="303">
        <v>646736.11</v>
      </c>
      <c r="D14" s="303">
        <v>0.03</v>
      </c>
      <c r="E14" s="303">
        <v>230028</v>
      </c>
      <c r="F14" s="14">
        <f t="shared" si="1"/>
        <v>0.35567520731137159</v>
      </c>
      <c r="G14" s="302">
        <f t="shared" si="4"/>
        <v>416708.14</v>
      </c>
      <c r="H14" s="303">
        <v>416708.14</v>
      </c>
      <c r="I14" s="302">
        <v>0</v>
      </c>
      <c r="J14" s="302">
        <v>0</v>
      </c>
      <c r="K14" s="302">
        <f t="shared" si="2"/>
        <v>416708.14</v>
      </c>
      <c r="L14" s="304">
        <f t="shared" si="3"/>
        <v>0.35567520731137159</v>
      </c>
      <c r="M14" s="305">
        <f t="shared" si="0"/>
        <v>0</v>
      </c>
      <c r="N14" s="280"/>
    </row>
    <row r="15" spans="1:16" x14ac:dyDescent="0.2">
      <c r="A15" s="139" t="s">
        <v>23</v>
      </c>
      <c r="B15" s="14">
        <v>1328025</v>
      </c>
      <c r="C15" s="303">
        <v>757328.2</v>
      </c>
      <c r="D15" s="303">
        <v>0</v>
      </c>
      <c r="E15" s="303">
        <v>735910.32</v>
      </c>
      <c r="F15" s="14">
        <f t="shared" si="1"/>
        <v>0.97171915689921484</v>
      </c>
      <c r="G15" s="302">
        <f t="shared" si="4"/>
        <v>21417.880000000005</v>
      </c>
      <c r="H15" s="303">
        <v>21417.88</v>
      </c>
      <c r="I15" s="302">
        <v>0</v>
      </c>
      <c r="J15" s="302">
        <v>0</v>
      </c>
      <c r="K15" s="302">
        <f t="shared" si="2"/>
        <v>21417.88</v>
      </c>
      <c r="L15" s="304">
        <f t="shared" si="3"/>
        <v>0.97171915689921484</v>
      </c>
      <c r="M15" s="305">
        <f t="shared" si="0"/>
        <v>0</v>
      </c>
      <c r="N15" s="281"/>
    </row>
    <row r="16" spans="1:16" x14ac:dyDescent="0.2">
      <c r="A16" s="139" t="s">
        <v>24</v>
      </c>
      <c r="B16" s="14">
        <v>15442286</v>
      </c>
      <c r="C16" s="303">
        <v>9190958.8900000006</v>
      </c>
      <c r="D16" s="303">
        <v>0.06</v>
      </c>
      <c r="E16" s="302">
        <v>8228063.8200000003</v>
      </c>
      <c r="F16" s="14">
        <f t="shared" si="1"/>
        <v>0.89523453629548333</v>
      </c>
      <c r="G16" s="302">
        <f>+C16+D16-E16</f>
        <v>962895.13000000082</v>
      </c>
      <c r="H16" s="303">
        <v>1141482.1299999999</v>
      </c>
      <c r="I16" s="302">
        <v>0</v>
      </c>
      <c r="J16" s="302">
        <f>124365+54222</f>
        <v>178587</v>
      </c>
      <c r="K16" s="302">
        <f t="shared" si="2"/>
        <v>962895.12999999989</v>
      </c>
      <c r="L16" s="304">
        <f t="shared" si="3"/>
        <v>0.89523453629548333</v>
      </c>
      <c r="M16" s="305">
        <f t="shared" si="0"/>
        <v>-9.3132257461547852E-10</v>
      </c>
      <c r="N16" s="281"/>
      <c r="O16" s="151"/>
    </row>
    <row r="17" spans="1:18" x14ac:dyDescent="0.2">
      <c r="A17" s="139" t="s">
        <v>25</v>
      </c>
      <c r="B17" s="14">
        <v>977776</v>
      </c>
      <c r="C17" s="303">
        <v>566726.09</v>
      </c>
      <c r="D17" s="303">
        <v>0.03</v>
      </c>
      <c r="E17" s="302">
        <v>515423.53</v>
      </c>
      <c r="F17" s="14">
        <f t="shared" si="1"/>
        <v>0.90947556340665392</v>
      </c>
      <c r="G17" s="302">
        <f t="shared" si="4"/>
        <v>51302.589999999967</v>
      </c>
      <c r="H17" s="303">
        <v>51302.59</v>
      </c>
      <c r="I17" s="302">
        <v>0</v>
      </c>
      <c r="J17" s="302">
        <v>0</v>
      </c>
      <c r="K17" s="302">
        <f t="shared" si="2"/>
        <v>51302.59</v>
      </c>
      <c r="L17" s="304">
        <f t="shared" si="3"/>
        <v>0.90947556340665392</v>
      </c>
      <c r="M17" s="307">
        <f>+K17-G17</f>
        <v>0</v>
      </c>
      <c r="N17" s="281"/>
    </row>
    <row r="18" spans="1:18" x14ac:dyDescent="0.2">
      <c r="A18" s="139" t="s">
        <v>53</v>
      </c>
      <c r="B18" s="14">
        <v>887363.87</v>
      </c>
      <c r="C18" s="303">
        <v>46.93</v>
      </c>
      <c r="D18" s="303">
        <v>0</v>
      </c>
      <c r="E18" s="303">
        <v>0</v>
      </c>
      <c r="F18" s="14">
        <v>0</v>
      </c>
      <c r="G18" s="302">
        <f t="shared" si="4"/>
        <v>46.93</v>
      </c>
      <c r="H18" s="303">
        <v>5046.93</v>
      </c>
      <c r="I18" s="302">
        <v>0</v>
      </c>
      <c r="J18" s="302">
        <v>5000</v>
      </c>
      <c r="K18" s="302">
        <f t="shared" si="2"/>
        <v>46.930000000000291</v>
      </c>
      <c r="L18" s="304">
        <f t="shared" si="3"/>
        <v>0</v>
      </c>
      <c r="M18" s="307">
        <f t="shared" si="0"/>
        <v>2.9132252166164108E-13</v>
      </c>
      <c r="N18" s="281"/>
    </row>
    <row r="19" spans="1:18" x14ac:dyDescent="0.2">
      <c r="A19" s="139" t="s">
        <v>27</v>
      </c>
      <c r="B19" s="14">
        <f>+C19</f>
        <v>0</v>
      </c>
      <c r="C19" s="303">
        <v>0</v>
      </c>
      <c r="D19" s="303">
        <v>0</v>
      </c>
      <c r="E19" s="303">
        <v>0</v>
      </c>
      <c r="F19" s="14">
        <v>0</v>
      </c>
      <c r="G19" s="302">
        <f t="shared" si="4"/>
        <v>0</v>
      </c>
      <c r="H19" s="303">
        <v>0</v>
      </c>
      <c r="I19" s="302">
        <v>0</v>
      </c>
      <c r="J19" s="302">
        <v>0</v>
      </c>
      <c r="K19" s="302">
        <f t="shared" si="2"/>
        <v>0</v>
      </c>
      <c r="L19" s="304">
        <f t="shared" si="3"/>
        <v>0</v>
      </c>
      <c r="M19" s="307">
        <f t="shared" si="0"/>
        <v>0</v>
      </c>
      <c r="N19" s="282"/>
    </row>
    <row r="20" spans="1:18" x14ac:dyDescent="0.2">
      <c r="A20" s="139" t="s">
        <v>28</v>
      </c>
      <c r="B20" s="14">
        <v>53962</v>
      </c>
      <c r="C20" s="303">
        <v>31482.09</v>
      </c>
      <c r="D20" s="303">
        <v>0</v>
      </c>
      <c r="E20" s="303">
        <v>21750</v>
      </c>
      <c r="F20" s="14">
        <v>0</v>
      </c>
      <c r="G20" s="302">
        <f t="shared" si="4"/>
        <v>9732.09</v>
      </c>
      <c r="H20" s="303">
        <v>9732.09</v>
      </c>
      <c r="I20" s="302">
        <v>0</v>
      </c>
      <c r="J20" s="302">
        <v>0</v>
      </c>
      <c r="K20" s="302">
        <f t="shared" si="2"/>
        <v>9732.09</v>
      </c>
      <c r="L20" s="304">
        <f t="shared" si="3"/>
        <v>0</v>
      </c>
      <c r="M20" s="307">
        <f t="shared" si="0"/>
        <v>0</v>
      </c>
      <c r="N20" s="270"/>
    </row>
    <row r="21" spans="1:18" ht="27" x14ac:dyDescent="0.2">
      <c r="A21" s="139" t="s">
        <v>136</v>
      </c>
      <c r="B21" s="14">
        <v>4516388.1399999997</v>
      </c>
      <c r="C21" s="303">
        <v>4031972</v>
      </c>
      <c r="D21" s="303">
        <v>0</v>
      </c>
      <c r="E21" s="303">
        <v>4295336.1399999997</v>
      </c>
      <c r="F21" s="14">
        <v>0</v>
      </c>
      <c r="G21" s="302">
        <f t="shared" si="4"/>
        <v>-263364.13999999966</v>
      </c>
      <c r="H21" s="303">
        <v>1635.86</v>
      </c>
      <c r="I21" s="302">
        <v>0</v>
      </c>
      <c r="J21" s="302">
        <v>265000</v>
      </c>
      <c r="K21" s="302">
        <f t="shared" si="2"/>
        <v>-263364.14</v>
      </c>
      <c r="L21" s="306">
        <f t="shared" si="3"/>
        <v>0</v>
      </c>
      <c r="M21" s="307">
        <f t="shared" si="0"/>
        <v>0</v>
      </c>
      <c r="N21" s="270"/>
    </row>
    <row r="22" spans="1:18" x14ac:dyDescent="0.2">
      <c r="A22" s="139" t="s">
        <v>29</v>
      </c>
      <c r="B22" s="14">
        <v>32555069</v>
      </c>
      <c r="C22" s="303">
        <v>22788555.800000001</v>
      </c>
      <c r="D22" s="303">
        <v>0</v>
      </c>
      <c r="E22" s="303">
        <v>0</v>
      </c>
      <c r="F22" s="14">
        <f>+E22/C22</f>
        <v>0</v>
      </c>
      <c r="G22" s="302">
        <f t="shared" si="4"/>
        <v>22788555.800000001</v>
      </c>
      <c r="H22" s="303">
        <f>3256013.8+19532542</f>
        <v>22788555.800000001</v>
      </c>
      <c r="I22" s="302">
        <v>0</v>
      </c>
      <c r="J22" s="302">
        <v>0</v>
      </c>
      <c r="K22" s="302">
        <f>H22+I22-J22</f>
        <v>22788555.800000001</v>
      </c>
      <c r="L22" s="304">
        <f t="shared" si="3"/>
        <v>0</v>
      </c>
      <c r="M22" s="307">
        <f t="shared" si="0"/>
        <v>0</v>
      </c>
      <c r="N22" s="270"/>
    </row>
    <row r="23" spans="1:18" x14ac:dyDescent="0.2">
      <c r="A23" s="139" t="s">
        <v>30</v>
      </c>
      <c r="B23" s="14">
        <v>26159027</v>
      </c>
      <c r="C23" s="303">
        <v>15259450.380000001</v>
      </c>
      <c r="D23" s="303">
        <v>0</v>
      </c>
      <c r="E23" s="302">
        <v>14029340.32</v>
      </c>
      <c r="F23" s="14">
        <f>+E23/C23</f>
        <v>0.91938700088357961</v>
      </c>
      <c r="G23" s="302">
        <f t="shared" si="4"/>
        <v>1230110.0600000005</v>
      </c>
      <c r="H23" s="303">
        <v>1387864.86</v>
      </c>
      <c r="I23" s="302">
        <f>461305</f>
        <v>461305</v>
      </c>
      <c r="J23" s="302">
        <f>40447+578612.8</f>
        <v>619059.80000000005</v>
      </c>
      <c r="K23" s="302">
        <f>H23+I23-J23</f>
        <v>1230110.06</v>
      </c>
      <c r="L23" s="306">
        <f t="shared" si="3"/>
        <v>0.91938700088357961</v>
      </c>
      <c r="M23" s="307">
        <f t="shared" si="0"/>
        <v>0</v>
      </c>
      <c r="N23" s="283"/>
      <c r="Q23" s="141"/>
      <c r="R23" s="144"/>
    </row>
    <row r="24" spans="1:18" ht="40.5" x14ac:dyDescent="0.2">
      <c r="A24" s="139" t="s">
        <v>135</v>
      </c>
      <c r="B24" s="11">
        <v>179760</v>
      </c>
      <c r="C24" s="303">
        <v>179760</v>
      </c>
      <c r="D24" s="303">
        <v>0</v>
      </c>
      <c r="E24" s="302">
        <v>0</v>
      </c>
      <c r="F24" s="14">
        <f>+E24/C24</f>
        <v>0</v>
      </c>
      <c r="G24" s="302">
        <f t="shared" si="4"/>
        <v>179760</v>
      </c>
      <c r="H24" s="303">
        <v>184412</v>
      </c>
      <c r="I24" s="302">
        <v>0</v>
      </c>
      <c r="J24" s="302">
        <v>4652</v>
      </c>
      <c r="K24" s="302">
        <f>H24+I24-J24</f>
        <v>179760</v>
      </c>
      <c r="L24" s="306">
        <f>+F24</f>
        <v>0</v>
      </c>
      <c r="M24" s="307">
        <f t="shared" si="0"/>
        <v>0</v>
      </c>
      <c r="N24" s="284"/>
      <c r="Q24" s="141"/>
      <c r="R24" s="144"/>
    </row>
    <row r="25" spans="1:18" s="5" customFormat="1" x14ac:dyDescent="0.2">
      <c r="A25" s="248" t="s">
        <v>144</v>
      </c>
      <c r="B25" s="21">
        <f>SUM(B11:B24)</f>
        <v>128982972.13</v>
      </c>
      <c r="C25" s="21">
        <f t="shared" ref="C25:K25" si="5">SUM(C11:C24)</f>
        <v>77761083.890000001</v>
      </c>
      <c r="D25" s="21">
        <f t="shared" si="5"/>
        <v>2098.8000000000002</v>
      </c>
      <c r="E25" s="21">
        <f t="shared" si="5"/>
        <v>51955577.75</v>
      </c>
      <c r="F25" s="21">
        <f t="shared" si="5"/>
        <v>6.8658851991167209</v>
      </c>
      <c r="G25" s="21">
        <f t="shared" si="5"/>
        <v>25807604.940000005</v>
      </c>
      <c r="H25" s="21">
        <f t="shared" si="5"/>
        <v>26782075.84</v>
      </c>
      <c r="I25" s="21">
        <f t="shared" si="5"/>
        <v>620279.9</v>
      </c>
      <c r="J25" s="21">
        <f t="shared" si="5"/>
        <v>1594750.8</v>
      </c>
      <c r="K25" s="21">
        <f t="shared" si="5"/>
        <v>25807604.940000001</v>
      </c>
      <c r="L25" s="252"/>
      <c r="M25" s="118">
        <f>SUM(M11:M23)</f>
        <v>-5.8178528661301243E-10</v>
      </c>
      <c r="N25" s="203"/>
      <c r="O25" s="143"/>
      <c r="P25" s="143"/>
    </row>
    <row r="26" spans="1:18" s="17" customFormat="1" x14ac:dyDescent="0.25">
      <c r="A26" s="139" t="s">
        <v>18</v>
      </c>
      <c r="B26" s="14">
        <f>10999097.88+238908.65</f>
        <v>11238006.530000001</v>
      </c>
      <c r="C26" s="14">
        <f>10999097.88+238908.65</f>
        <v>11238006.530000001</v>
      </c>
      <c r="D26" s="11">
        <v>0</v>
      </c>
      <c r="E26" s="14">
        <v>11056143.380000001</v>
      </c>
      <c r="F26" s="14">
        <f>+E26/C26</f>
        <v>0.98381713433654672</v>
      </c>
      <c r="G26" s="251">
        <f>+C26+D26-E26</f>
        <v>181863.15000000037</v>
      </c>
      <c r="H26" s="11">
        <f>178606.93+5000</f>
        <v>183606.93</v>
      </c>
      <c r="I26" s="14">
        <f>127254.42+10000</f>
        <v>137254.41999999998</v>
      </c>
      <c r="J26" s="14">
        <f>21634+117364.2</f>
        <v>138998.20000000001</v>
      </c>
      <c r="K26" s="14">
        <f>H26+I26-J26</f>
        <v>181863.14999999997</v>
      </c>
      <c r="L26" s="15">
        <f>+F26</f>
        <v>0.98381713433654672</v>
      </c>
      <c r="M26" s="62">
        <f t="shared" ref="M26:M41" si="6">+K26-G26</f>
        <v>-4.0745362639427185E-10</v>
      </c>
      <c r="N26" s="278"/>
      <c r="O26" s="153"/>
      <c r="P26" s="142"/>
    </row>
    <row r="27" spans="1:18" x14ac:dyDescent="0.2">
      <c r="A27" s="139" t="s">
        <v>20</v>
      </c>
      <c r="B27" s="11">
        <v>32201284.170000002</v>
      </c>
      <c r="C27" s="11">
        <v>32201284.170000002</v>
      </c>
      <c r="D27" s="11">
        <v>0</v>
      </c>
      <c r="E27" s="14">
        <f>32201284.17+1111.5</f>
        <v>32202395.670000002</v>
      </c>
      <c r="F27" s="14">
        <f t="shared" ref="F27:F32" si="7">+E27/C27</f>
        <v>1.0000345172569558</v>
      </c>
      <c r="G27" s="251">
        <f t="shared" ref="G27:G41" si="8">+C27+D27-E27</f>
        <v>-1111.5</v>
      </c>
      <c r="H27" s="11">
        <v>-32123.5</v>
      </c>
      <c r="I27" s="14">
        <f>254129-800</f>
        <v>253329</v>
      </c>
      <c r="J27" s="14">
        <f>-65336+62764+224889</f>
        <v>222317</v>
      </c>
      <c r="K27" s="14">
        <f t="shared" ref="K27:K36" si="9">H27+I27-J27</f>
        <v>-1111.5</v>
      </c>
      <c r="L27" s="15">
        <f t="shared" ref="L27:L38" si="10">+F27</f>
        <v>1.0000345172569558</v>
      </c>
      <c r="M27" s="61">
        <f t="shared" si="6"/>
        <v>0</v>
      </c>
      <c r="N27" s="279"/>
      <c r="O27" s="151"/>
    </row>
    <row r="28" spans="1:18" x14ac:dyDescent="0.2">
      <c r="A28" s="139" t="s">
        <v>21</v>
      </c>
      <c r="B28" s="11">
        <v>375916.69</v>
      </c>
      <c r="C28" s="11">
        <v>375916.69</v>
      </c>
      <c r="D28" s="11">
        <v>0</v>
      </c>
      <c r="E28" s="11">
        <v>364122.38</v>
      </c>
      <c r="F28" s="14">
        <f t="shared" si="7"/>
        <v>0.9686252025681541</v>
      </c>
      <c r="G28" s="251">
        <f t="shared" si="8"/>
        <v>11794.309999999998</v>
      </c>
      <c r="H28" s="11">
        <v>11794.31</v>
      </c>
      <c r="I28" s="14">
        <v>0</v>
      </c>
      <c r="J28" s="14">
        <v>0</v>
      </c>
      <c r="K28" s="14">
        <f t="shared" si="9"/>
        <v>11794.31</v>
      </c>
      <c r="L28" s="15">
        <f t="shared" si="10"/>
        <v>0.9686252025681541</v>
      </c>
      <c r="M28" s="236">
        <f t="shared" si="6"/>
        <v>0</v>
      </c>
      <c r="N28" s="280"/>
    </row>
    <row r="29" spans="1:18" x14ac:dyDescent="0.2">
      <c r="A29" s="139" t="s">
        <v>22</v>
      </c>
      <c r="B29" s="11">
        <v>553292.86</v>
      </c>
      <c r="C29" s="11">
        <v>553292.86</v>
      </c>
      <c r="D29" s="11">
        <v>0</v>
      </c>
      <c r="E29" s="11">
        <v>549193.92000000004</v>
      </c>
      <c r="F29" s="14">
        <f t="shared" si="7"/>
        <v>0.99259173523403155</v>
      </c>
      <c r="G29" s="251">
        <f t="shared" si="8"/>
        <v>4098.9399999999441</v>
      </c>
      <c r="H29" s="11">
        <v>4098.9399999999996</v>
      </c>
      <c r="I29" s="14">
        <v>0</v>
      </c>
      <c r="J29" s="14">
        <v>0</v>
      </c>
      <c r="K29" s="14">
        <f t="shared" si="9"/>
        <v>4098.9399999999996</v>
      </c>
      <c r="L29" s="15">
        <f t="shared" si="10"/>
        <v>0.99259173523403155</v>
      </c>
      <c r="M29" s="236">
        <f t="shared" si="6"/>
        <v>5.5479176808148623E-11</v>
      </c>
      <c r="N29" s="280"/>
    </row>
    <row r="30" spans="1:18" x14ac:dyDescent="0.2">
      <c r="A30" s="139" t="s">
        <v>23</v>
      </c>
      <c r="B30" s="11">
        <v>1287364.3999999999</v>
      </c>
      <c r="C30" s="11">
        <v>1287364.3999999999</v>
      </c>
      <c r="D30" s="11">
        <v>0</v>
      </c>
      <c r="E30" s="11">
        <v>1286941.03</v>
      </c>
      <c r="F30" s="14">
        <f t="shared" si="7"/>
        <v>0.99967113429577525</v>
      </c>
      <c r="G30" s="251">
        <f t="shared" si="8"/>
        <v>423.36999999987893</v>
      </c>
      <c r="H30" s="11">
        <v>423.37</v>
      </c>
      <c r="I30" s="14">
        <v>0</v>
      </c>
      <c r="J30" s="14">
        <v>0</v>
      </c>
      <c r="K30" s="14">
        <f t="shared" si="9"/>
        <v>423.37</v>
      </c>
      <c r="L30" s="15">
        <f t="shared" si="10"/>
        <v>0.99967113429577525</v>
      </c>
      <c r="M30" s="236">
        <f t="shared" si="6"/>
        <v>1.2107648217352107E-10</v>
      </c>
      <c r="N30" s="281"/>
    </row>
    <row r="31" spans="1:18" x14ac:dyDescent="0.2">
      <c r="A31" s="139" t="s">
        <v>24</v>
      </c>
      <c r="B31" s="11">
        <v>15340178.58</v>
      </c>
      <c r="C31" s="11">
        <v>15340178.58</v>
      </c>
      <c r="D31" s="11">
        <v>0</v>
      </c>
      <c r="E31" s="14">
        <f>15320249.52</f>
        <v>15320249.52</v>
      </c>
      <c r="F31" s="14">
        <f t="shared" si="7"/>
        <v>0.99870085867018632</v>
      </c>
      <c r="G31" s="251">
        <f t="shared" si="8"/>
        <v>19929.060000000522</v>
      </c>
      <c r="H31" s="11">
        <v>501651.06</v>
      </c>
      <c r="I31" s="14">
        <v>0</v>
      </c>
      <c r="J31" s="14">
        <f>419314+2000+60408</f>
        <v>481722</v>
      </c>
      <c r="K31" s="14">
        <f t="shared" si="9"/>
        <v>19929.059999999998</v>
      </c>
      <c r="L31" s="15">
        <f t="shared" si="10"/>
        <v>0.99870085867018632</v>
      </c>
      <c r="M31" s="62">
        <f t="shared" si="6"/>
        <v>-5.2386894822120667E-10</v>
      </c>
      <c r="N31" s="281"/>
      <c r="O31" s="151"/>
    </row>
    <row r="32" spans="1:18" x14ac:dyDescent="0.2">
      <c r="A32" s="139" t="s">
        <v>25</v>
      </c>
      <c r="B32" s="11">
        <v>1461552.81</v>
      </c>
      <c r="C32" s="11">
        <v>1461552.81</v>
      </c>
      <c r="D32" s="11">
        <v>0</v>
      </c>
      <c r="E32" s="14">
        <v>1315379.46</v>
      </c>
      <c r="F32" s="14">
        <f t="shared" si="7"/>
        <v>0.89998763712137086</v>
      </c>
      <c r="G32" s="251">
        <f t="shared" si="8"/>
        <v>146173.35000000009</v>
      </c>
      <c r="H32" s="11">
        <v>146173.35</v>
      </c>
      <c r="I32" s="14">
        <v>0</v>
      </c>
      <c r="J32" s="14">
        <v>0</v>
      </c>
      <c r="K32" s="14">
        <f t="shared" si="9"/>
        <v>146173.35</v>
      </c>
      <c r="L32" s="15">
        <f t="shared" si="10"/>
        <v>0.89998763712137086</v>
      </c>
      <c r="M32" s="236">
        <f t="shared" si="6"/>
        <v>0</v>
      </c>
      <c r="N32" s="281"/>
    </row>
    <row r="33" spans="1:18" x14ac:dyDescent="0.2">
      <c r="A33" s="139" t="s">
        <v>53</v>
      </c>
      <c r="B33" s="11">
        <v>888239.11</v>
      </c>
      <c r="C33" s="11">
        <v>888239.11</v>
      </c>
      <c r="D33" s="11">
        <v>0</v>
      </c>
      <c r="E33" s="11">
        <v>651043.92000000004</v>
      </c>
      <c r="F33" s="14">
        <v>0</v>
      </c>
      <c r="G33" s="251">
        <f t="shared" si="8"/>
        <v>237195.18999999994</v>
      </c>
      <c r="H33" s="11">
        <v>237195.19</v>
      </c>
      <c r="I33" s="14">
        <v>0</v>
      </c>
      <c r="J33" s="14">
        <v>0</v>
      </c>
      <c r="K33" s="14">
        <f t="shared" si="9"/>
        <v>237195.19</v>
      </c>
      <c r="L33" s="15">
        <f t="shared" si="10"/>
        <v>0</v>
      </c>
      <c r="M33" s="236">
        <f t="shared" si="6"/>
        <v>0</v>
      </c>
      <c r="N33" s="281"/>
    </row>
    <row r="34" spans="1:18" x14ac:dyDescent="0.2">
      <c r="A34" s="139" t="s">
        <v>27</v>
      </c>
      <c r="B34" s="11">
        <v>0</v>
      </c>
      <c r="C34" s="11">
        <v>0</v>
      </c>
      <c r="D34" s="11">
        <v>0</v>
      </c>
      <c r="E34" s="11">
        <v>0</v>
      </c>
      <c r="F34" s="14">
        <v>0</v>
      </c>
      <c r="G34" s="251">
        <f t="shared" si="8"/>
        <v>0</v>
      </c>
      <c r="H34" s="11">
        <v>0</v>
      </c>
      <c r="I34" s="14">
        <v>0</v>
      </c>
      <c r="J34" s="14">
        <v>0</v>
      </c>
      <c r="K34" s="14">
        <f t="shared" si="9"/>
        <v>0</v>
      </c>
      <c r="L34" s="15">
        <f t="shared" si="10"/>
        <v>0</v>
      </c>
      <c r="M34" s="236">
        <f t="shared" si="6"/>
        <v>0</v>
      </c>
      <c r="N34" s="281"/>
    </row>
    <row r="35" spans="1:18" x14ac:dyDescent="0.2">
      <c r="A35" s="139" t="s">
        <v>28</v>
      </c>
      <c r="B35" s="11">
        <v>60034.41</v>
      </c>
      <c r="C35" s="11">
        <v>60034.41</v>
      </c>
      <c r="D35" s="11">
        <v>0</v>
      </c>
      <c r="E35" s="11">
        <v>36692.129999999997</v>
      </c>
      <c r="F35" s="14">
        <v>0</v>
      </c>
      <c r="G35" s="251">
        <f t="shared" si="8"/>
        <v>23342.280000000006</v>
      </c>
      <c r="H35" s="11">
        <v>23342.28</v>
      </c>
      <c r="I35" s="14">
        <v>0</v>
      </c>
      <c r="J35" s="14">
        <v>0</v>
      </c>
      <c r="K35" s="14">
        <f t="shared" si="9"/>
        <v>23342.28</v>
      </c>
      <c r="L35" s="15">
        <f t="shared" si="10"/>
        <v>0</v>
      </c>
      <c r="M35" s="236">
        <f t="shared" si="6"/>
        <v>0</v>
      </c>
      <c r="N35" s="270"/>
    </row>
    <row r="36" spans="1:18" ht="27" x14ac:dyDescent="0.2">
      <c r="A36" s="139" t="s">
        <v>136</v>
      </c>
      <c r="B36" s="11">
        <v>2201262.25</v>
      </c>
      <c r="C36" s="11">
        <v>2201262.25</v>
      </c>
      <c r="D36" s="11">
        <v>818.27</v>
      </c>
      <c r="E36" s="11">
        <v>2193712.5099999998</v>
      </c>
      <c r="F36" s="14"/>
      <c r="G36" s="251">
        <f t="shared" si="8"/>
        <v>8368.0100000002421</v>
      </c>
      <c r="H36" s="11">
        <v>8368.01</v>
      </c>
      <c r="I36" s="14">
        <v>0</v>
      </c>
      <c r="J36" s="14">
        <v>0</v>
      </c>
      <c r="K36" s="14">
        <f t="shared" si="9"/>
        <v>8368.01</v>
      </c>
      <c r="L36" s="15">
        <f t="shared" si="10"/>
        <v>0</v>
      </c>
      <c r="M36" s="236">
        <f t="shared" si="6"/>
        <v>-2.4192559067159891E-10</v>
      </c>
      <c r="N36" s="270"/>
    </row>
    <row r="37" spans="1:18" x14ac:dyDescent="0.2">
      <c r="A37" s="139" t="s">
        <v>29</v>
      </c>
      <c r="B37" s="11">
        <v>29358891.780000001</v>
      </c>
      <c r="C37" s="11">
        <v>29358891.780000001</v>
      </c>
      <c r="D37" s="11">
        <v>644200.78</v>
      </c>
      <c r="E37" s="11">
        <v>29358059.32</v>
      </c>
      <c r="F37" s="14">
        <f>+E37/C37</f>
        <v>0.99997164538749495</v>
      </c>
      <c r="G37" s="251">
        <f t="shared" si="8"/>
        <v>645033.24000000209</v>
      </c>
      <c r="H37" s="11">
        <f>27044389.8+0</f>
        <v>27044389.800000001</v>
      </c>
      <c r="I37" s="14">
        <v>2958702.76</v>
      </c>
      <c r="J37" s="14">
        <v>29358059.32</v>
      </c>
      <c r="K37" s="14">
        <f>H37+I37-J37</f>
        <v>645033.24000000209</v>
      </c>
      <c r="L37" s="15">
        <f t="shared" si="10"/>
        <v>0.99997164538749495</v>
      </c>
      <c r="M37" s="236">
        <f t="shared" si="6"/>
        <v>0</v>
      </c>
      <c r="N37" s="270"/>
    </row>
    <row r="38" spans="1:18" x14ac:dyDescent="0.2">
      <c r="A38" s="139" t="s">
        <v>30</v>
      </c>
      <c r="B38" s="11">
        <v>23067538.390000001</v>
      </c>
      <c r="C38" s="11">
        <v>23067538.390000001</v>
      </c>
      <c r="D38" s="11">
        <v>0</v>
      </c>
      <c r="E38" s="14">
        <f>23067538.39-13458.57</f>
        <v>23054079.82</v>
      </c>
      <c r="F38" s="14">
        <f>+E38/C38</f>
        <v>0.99941655803179086</v>
      </c>
      <c r="G38" s="251">
        <f t="shared" si="8"/>
        <v>13458.570000000298</v>
      </c>
      <c r="H38" s="11">
        <v>374090.59</v>
      </c>
      <c r="I38" s="14">
        <f>713.4+45970</f>
        <v>46683.4</v>
      </c>
      <c r="J38" s="14">
        <f>275061+132254.42</f>
        <v>407315.42000000004</v>
      </c>
      <c r="K38" s="14">
        <f>H38+I38-J38</f>
        <v>13458.570000000007</v>
      </c>
      <c r="L38" s="15">
        <f t="shared" si="10"/>
        <v>0.99941655803179086</v>
      </c>
      <c r="M38" s="107">
        <f t="shared" si="6"/>
        <v>-2.9103830456733704E-10</v>
      </c>
      <c r="N38" s="284" t="s">
        <v>52</v>
      </c>
      <c r="Q38" s="141"/>
      <c r="R38" s="144"/>
    </row>
    <row r="39" spans="1:18" x14ac:dyDescent="0.2">
      <c r="A39" s="139" t="s">
        <v>57</v>
      </c>
      <c r="B39" s="11">
        <v>1483495.05</v>
      </c>
      <c r="C39" s="11">
        <v>1483495.05</v>
      </c>
      <c r="D39" s="11">
        <v>4256.42</v>
      </c>
      <c r="E39" s="14">
        <v>1461506.21</v>
      </c>
      <c r="F39" s="14">
        <f>+E39/C39</f>
        <v>0.98517767888743535</v>
      </c>
      <c r="G39" s="251">
        <f t="shared" si="8"/>
        <v>26245.260000000009</v>
      </c>
      <c r="H39" s="11">
        <v>26245.26</v>
      </c>
      <c r="I39" s="14">
        <v>0</v>
      </c>
      <c r="J39" s="14">
        <v>0</v>
      </c>
      <c r="K39" s="14">
        <f>H39+I39-J39</f>
        <v>26245.26</v>
      </c>
      <c r="L39" s="15">
        <f>+F39</f>
        <v>0.98517767888743535</v>
      </c>
      <c r="M39" s="107">
        <f t="shared" si="6"/>
        <v>0</v>
      </c>
      <c r="N39" s="284"/>
      <c r="Q39" s="141"/>
      <c r="R39" s="144"/>
    </row>
    <row r="40" spans="1:18" x14ac:dyDescent="0.2">
      <c r="A40" s="139" t="s">
        <v>139</v>
      </c>
      <c r="B40" s="14">
        <v>1364024.1</v>
      </c>
      <c r="C40" s="14">
        <v>1364024.1</v>
      </c>
      <c r="D40" s="11">
        <f>940.83+935.1+658.75</f>
        <v>2534.6800000000003</v>
      </c>
      <c r="E40" s="14">
        <v>1364018.1</v>
      </c>
      <c r="F40" s="14">
        <f>+E40/C40</f>
        <v>0.99999560125074038</v>
      </c>
      <c r="G40" s="251">
        <f t="shared" si="8"/>
        <v>2540.6799999999348</v>
      </c>
      <c r="H40" s="11">
        <v>957353.35</v>
      </c>
      <c r="I40" s="14">
        <v>409205.43</v>
      </c>
      <c r="J40" s="14">
        <v>1364018.1</v>
      </c>
      <c r="K40" s="14">
        <f>H40+I40-J40</f>
        <v>2540.6799999999348</v>
      </c>
      <c r="L40" s="15">
        <f>+F40</f>
        <v>0.99999560125074038</v>
      </c>
      <c r="M40" s="107">
        <f t="shared" si="6"/>
        <v>0</v>
      </c>
      <c r="N40" s="284"/>
      <c r="Q40" s="141"/>
      <c r="R40" s="144"/>
    </row>
    <row r="41" spans="1:18" ht="40.5" x14ac:dyDescent="0.2">
      <c r="A41" s="139" t="s">
        <v>135</v>
      </c>
      <c r="B41" s="11">
        <v>199999.99</v>
      </c>
      <c r="C41" s="11">
        <v>199999.99</v>
      </c>
      <c r="D41" s="11">
        <f>113.52+264.05+123.8+26.23</f>
        <v>527.6</v>
      </c>
      <c r="E41" s="14">
        <v>199730.99</v>
      </c>
      <c r="F41" s="14">
        <f>+E41/C41</f>
        <v>0.99865499993274998</v>
      </c>
      <c r="G41" s="251">
        <f t="shared" si="8"/>
        <v>796.60000000000582</v>
      </c>
      <c r="H41" s="11">
        <v>683.08</v>
      </c>
      <c r="I41" s="14">
        <f>180000+5000</f>
        <v>185000</v>
      </c>
      <c r="J41" s="14">
        <f>102106.79+5000+77779.69</f>
        <v>184886.47999999998</v>
      </c>
      <c r="K41" s="14">
        <f>H41+I41-J41</f>
        <v>796.60000000000582</v>
      </c>
      <c r="L41" s="15">
        <f>+F41</f>
        <v>0.99865499993274998</v>
      </c>
      <c r="M41" s="107">
        <f t="shared" si="6"/>
        <v>0</v>
      </c>
      <c r="N41" s="284"/>
      <c r="Q41" s="141"/>
      <c r="R41" s="144"/>
    </row>
    <row r="42" spans="1:18" s="5" customFormat="1" x14ac:dyDescent="0.2">
      <c r="A42" s="248" t="s">
        <v>60</v>
      </c>
      <c r="B42" s="21">
        <f t="shared" ref="B42:K42" si="11">SUM(B26:B41)</f>
        <v>121081081.11999999</v>
      </c>
      <c r="C42" s="21">
        <f t="shared" si="11"/>
        <v>121081081.11999999</v>
      </c>
      <c r="D42" s="21">
        <f t="shared" si="11"/>
        <v>652337.75000000012</v>
      </c>
      <c r="E42" s="21">
        <f t="shared" si="11"/>
        <v>120413268.35999998</v>
      </c>
      <c r="F42" s="249">
        <f t="shared" si="11"/>
        <v>11.826644702973232</v>
      </c>
      <c r="G42" s="249">
        <f t="shared" si="11"/>
        <v>1320150.5100000035</v>
      </c>
      <c r="H42" s="249">
        <f t="shared" si="11"/>
        <v>29487292.020000003</v>
      </c>
      <c r="I42" s="249">
        <f t="shared" si="11"/>
        <v>3990175.01</v>
      </c>
      <c r="J42" s="249">
        <f t="shared" si="11"/>
        <v>32157316.520000003</v>
      </c>
      <c r="K42" s="249">
        <f t="shared" si="11"/>
        <v>1320150.5100000021</v>
      </c>
      <c r="L42" s="252"/>
      <c r="M42" s="118">
        <f>SUM(M26:M41)</f>
        <v>-1.2877308108727448E-9</v>
      </c>
      <c r="N42" s="203"/>
      <c r="O42" s="143"/>
      <c r="P42" s="143"/>
    </row>
    <row r="43" spans="1:18" s="17" customFormat="1" x14ac:dyDescent="0.25">
      <c r="A43" s="139" t="s">
        <v>18</v>
      </c>
      <c r="B43" s="10">
        <v>9668787.5</v>
      </c>
      <c r="C43" s="10">
        <f>+B43-8808992.11</f>
        <v>859795.3900000006</v>
      </c>
      <c r="D43" s="11">
        <v>0</v>
      </c>
      <c r="E43" s="10">
        <v>126202.22</v>
      </c>
      <c r="F43" s="12">
        <f>+E43/C43</f>
        <v>0.14678168953662327</v>
      </c>
      <c r="G43" s="109">
        <f t="shared" ref="G43:G56" si="12">+C43+D43-E43</f>
        <v>733593.17000000062</v>
      </c>
      <c r="H43" s="11">
        <v>760336.44</v>
      </c>
      <c r="I43" s="14">
        <f>35750.7+49054.32+10000+17400</f>
        <v>112205.01999999999</v>
      </c>
      <c r="J43" s="14">
        <f>42293+3275.91+3277.52+90101.86</f>
        <v>138948.29</v>
      </c>
      <c r="K43" s="14">
        <f>H43+I43-J43</f>
        <v>733593.16999999993</v>
      </c>
      <c r="L43" s="15">
        <f>+F43</f>
        <v>0.14678168953662327</v>
      </c>
      <c r="M43" s="62">
        <f t="shared" ref="M43:M56" si="13">+K43-G43</f>
        <v>0</v>
      </c>
      <c r="N43" s="271"/>
      <c r="O43" s="153"/>
      <c r="P43" s="142"/>
    </row>
    <row r="44" spans="1:18" x14ac:dyDescent="0.2">
      <c r="A44" s="262" t="s">
        <v>20</v>
      </c>
      <c r="B44" s="109">
        <v>27138333.23</v>
      </c>
      <c r="C44" s="109">
        <v>27138333.23</v>
      </c>
      <c r="D44" s="261">
        <v>0</v>
      </c>
      <c r="E44" s="109">
        <f>26415966.23+831927-8117.68</f>
        <v>27239775.550000001</v>
      </c>
      <c r="F44" s="263">
        <f t="shared" ref="F44:F49" si="14">+E44/C44</f>
        <v>1.003737971641083</v>
      </c>
      <c r="G44" s="109">
        <f t="shared" si="12"/>
        <v>-101442.3200000003</v>
      </c>
      <c r="H44" s="264">
        <v>391978.01</v>
      </c>
      <c r="I44" s="201">
        <v>37944</v>
      </c>
      <c r="J44" s="201">
        <f>326678+16708.93+21550.06+166427.34</f>
        <v>531364.32999999996</v>
      </c>
      <c r="K44" s="201">
        <f t="shared" ref="K44:K51" si="15">H44+I44-J44</f>
        <v>-101442.31999999995</v>
      </c>
      <c r="L44" s="265">
        <f t="shared" ref="L44:L56" si="16">+F44</f>
        <v>1.003737971641083</v>
      </c>
      <c r="M44" s="62">
        <f t="shared" si="13"/>
        <v>3.4924596548080444E-10</v>
      </c>
      <c r="N44" s="272"/>
      <c r="O44" s="151"/>
    </row>
    <row r="45" spans="1:18" x14ac:dyDescent="0.2">
      <c r="A45" s="139" t="s">
        <v>21</v>
      </c>
      <c r="B45" s="10">
        <v>321506.03999999998</v>
      </c>
      <c r="C45" s="10">
        <f>+B45-280892.37</f>
        <v>40613.669999999984</v>
      </c>
      <c r="D45" s="11">
        <v>0</v>
      </c>
      <c r="E45" s="11">
        <v>40613.67</v>
      </c>
      <c r="F45" s="12">
        <f t="shared" si="14"/>
        <v>1.0000000000000004</v>
      </c>
      <c r="G45" s="109">
        <f t="shared" si="12"/>
        <v>0</v>
      </c>
      <c r="H45" s="13">
        <v>0</v>
      </c>
      <c r="I45" s="14">
        <v>0</v>
      </c>
      <c r="J45" s="14">
        <v>0</v>
      </c>
      <c r="K45" s="14">
        <f t="shared" si="15"/>
        <v>0</v>
      </c>
      <c r="L45" s="15">
        <f t="shared" si="16"/>
        <v>1.0000000000000004</v>
      </c>
      <c r="M45" s="62">
        <f t="shared" si="13"/>
        <v>0</v>
      </c>
    </row>
    <row r="46" spans="1:18" x14ac:dyDescent="0.2">
      <c r="A46" s="139" t="s">
        <v>22</v>
      </c>
      <c r="B46" s="10">
        <v>570803.89</v>
      </c>
      <c r="C46" s="10">
        <f>+B46-491970.23</f>
        <v>78833.660000000033</v>
      </c>
      <c r="D46" s="11">
        <v>0</v>
      </c>
      <c r="E46" s="11">
        <v>78833.66</v>
      </c>
      <c r="F46" s="12">
        <f t="shared" si="14"/>
        <v>0.99999999999999967</v>
      </c>
      <c r="G46" s="109">
        <f t="shared" si="12"/>
        <v>0</v>
      </c>
      <c r="H46" s="13">
        <v>0</v>
      </c>
      <c r="I46" s="14">
        <v>0</v>
      </c>
      <c r="J46" s="14">
        <v>0</v>
      </c>
      <c r="K46" s="14">
        <f t="shared" si="15"/>
        <v>0</v>
      </c>
      <c r="L46" s="15">
        <f t="shared" si="16"/>
        <v>0.99999999999999967</v>
      </c>
      <c r="M46" s="62">
        <f t="shared" si="13"/>
        <v>0</v>
      </c>
    </row>
    <row r="47" spans="1:18" x14ac:dyDescent="0.2">
      <c r="A47" s="139" t="s">
        <v>23</v>
      </c>
      <c r="B47" s="10">
        <v>1307693.44</v>
      </c>
      <c r="C47" s="10">
        <f>+B47-1273287.15</f>
        <v>34406.290000000037</v>
      </c>
      <c r="D47" s="11">
        <v>0</v>
      </c>
      <c r="E47" s="11">
        <v>34406.29</v>
      </c>
      <c r="F47" s="12">
        <f t="shared" si="14"/>
        <v>0.99999999999999889</v>
      </c>
      <c r="G47" s="109">
        <f t="shared" si="12"/>
        <v>0</v>
      </c>
      <c r="H47" s="13">
        <v>0</v>
      </c>
      <c r="I47" s="14">
        <v>0</v>
      </c>
      <c r="J47" s="14">
        <v>0</v>
      </c>
      <c r="K47" s="14">
        <f t="shared" si="15"/>
        <v>0</v>
      </c>
      <c r="L47" s="15">
        <f t="shared" si="16"/>
        <v>0.99999999999999889</v>
      </c>
      <c r="M47" s="62">
        <f t="shared" si="13"/>
        <v>0</v>
      </c>
    </row>
    <row r="48" spans="1:18" x14ac:dyDescent="0.2">
      <c r="A48" s="139" t="s">
        <v>24</v>
      </c>
      <c r="B48" s="10">
        <v>14234360.859999999</v>
      </c>
      <c r="C48" s="10">
        <f>+B48-14197791.76</f>
        <v>36569.099999999627</v>
      </c>
      <c r="D48" s="11">
        <v>0</v>
      </c>
      <c r="E48" s="10">
        <v>208.8</v>
      </c>
      <c r="F48" s="12">
        <f t="shared" si="14"/>
        <v>5.7097385497592813E-3</v>
      </c>
      <c r="G48" s="109">
        <f t="shared" si="12"/>
        <v>36360.299999999625</v>
      </c>
      <c r="H48" s="13">
        <v>-340080.7</v>
      </c>
      <c r="I48" s="14">
        <v>782752</v>
      </c>
      <c r="J48" s="14">
        <f>280823+125488</f>
        <v>406311</v>
      </c>
      <c r="K48" s="14">
        <f t="shared" si="15"/>
        <v>36360.299999999988</v>
      </c>
      <c r="L48" s="15">
        <f t="shared" si="16"/>
        <v>5.7097385497592813E-3</v>
      </c>
      <c r="M48" s="62">
        <f t="shared" si="13"/>
        <v>3.637978807091713E-10</v>
      </c>
      <c r="O48" s="151"/>
    </row>
    <row r="49" spans="1:18" x14ac:dyDescent="0.2">
      <c r="A49" s="139" t="s">
        <v>25</v>
      </c>
      <c r="B49" s="10">
        <v>658261.61</v>
      </c>
      <c r="C49" s="10">
        <f>+B49-367499.68</f>
        <v>290761.93</v>
      </c>
      <c r="D49" s="11">
        <v>0</v>
      </c>
      <c r="E49" s="10">
        <v>281389.86</v>
      </c>
      <c r="F49" s="12">
        <f t="shared" si="14"/>
        <v>0.96776720391146109</v>
      </c>
      <c r="G49" s="109">
        <f t="shared" si="12"/>
        <v>9372.070000000007</v>
      </c>
      <c r="H49" s="13">
        <v>56340.94</v>
      </c>
      <c r="I49" s="14">
        <v>0</v>
      </c>
      <c r="J49" s="14">
        <v>46968.87</v>
      </c>
      <c r="K49" s="14">
        <f t="shared" si="15"/>
        <v>9372.07</v>
      </c>
      <c r="L49" s="15">
        <f t="shared" si="16"/>
        <v>0.96776720391146109</v>
      </c>
      <c r="M49" s="62">
        <f t="shared" si="13"/>
        <v>0</v>
      </c>
    </row>
    <row r="50" spans="1:18" x14ac:dyDescent="0.2">
      <c r="A50" s="139" t="s">
        <v>53</v>
      </c>
      <c r="B50" s="10">
        <v>158979.12</v>
      </c>
      <c r="C50" s="10">
        <f>+B50</f>
        <v>158979.12</v>
      </c>
      <c r="D50" s="11">
        <v>0</v>
      </c>
      <c r="E50" s="11">
        <v>120000</v>
      </c>
      <c r="F50" s="12">
        <v>0</v>
      </c>
      <c r="G50" s="201">
        <f t="shared" si="12"/>
        <v>38979.119999999995</v>
      </c>
      <c r="H50" s="11">
        <v>43979.12</v>
      </c>
      <c r="I50" s="14">
        <v>0</v>
      </c>
      <c r="J50" s="14">
        <v>5000</v>
      </c>
      <c r="K50" s="14">
        <f t="shared" si="15"/>
        <v>38979.120000000003</v>
      </c>
      <c r="L50" s="15">
        <f t="shared" si="16"/>
        <v>0</v>
      </c>
      <c r="M50" s="62">
        <f t="shared" si="13"/>
        <v>0</v>
      </c>
    </row>
    <row r="51" spans="1:18" x14ac:dyDescent="0.2">
      <c r="A51" s="139" t="s">
        <v>28</v>
      </c>
      <c r="B51" s="10">
        <v>47798.07</v>
      </c>
      <c r="C51" s="10">
        <f>+B51-23516.14</f>
        <v>24281.93</v>
      </c>
      <c r="D51" s="11">
        <v>0</v>
      </c>
      <c r="E51" s="11">
        <v>0</v>
      </c>
      <c r="F51" s="12">
        <v>0</v>
      </c>
      <c r="G51" s="201">
        <f t="shared" si="12"/>
        <v>24281.93</v>
      </c>
      <c r="H51" s="11">
        <v>24281.93</v>
      </c>
      <c r="I51" s="14">
        <v>0</v>
      </c>
      <c r="J51" s="14">
        <v>0</v>
      </c>
      <c r="K51" s="14">
        <f t="shared" si="15"/>
        <v>24281.93</v>
      </c>
      <c r="L51" s="15">
        <f t="shared" si="16"/>
        <v>0</v>
      </c>
      <c r="M51" s="62">
        <f t="shared" si="13"/>
        <v>0</v>
      </c>
      <c r="N51" s="270"/>
    </row>
    <row r="52" spans="1:18" x14ac:dyDescent="0.2">
      <c r="A52" s="139" t="s">
        <v>29</v>
      </c>
      <c r="B52" s="10">
        <v>27972730</v>
      </c>
      <c r="C52" s="10">
        <f>+B52-27809818.06</f>
        <v>162911.94000000134</v>
      </c>
      <c r="D52" s="11">
        <v>186451.15</v>
      </c>
      <c r="E52" s="11">
        <v>0</v>
      </c>
      <c r="F52" s="12">
        <f>+E52/C52</f>
        <v>0</v>
      </c>
      <c r="G52" s="109">
        <f t="shared" si="12"/>
        <v>349363.09000000136</v>
      </c>
      <c r="H52" s="13">
        <v>656033.13</v>
      </c>
      <c r="I52" s="14">
        <f>-1</f>
        <v>-1</v>
      </c>
      <c r="J52" s="14">
        <f>219666.96+67322.53+19679.55</f>
        <v>306669.03999999998</v>
      </c>
      <c r="K52" s="14">
        <f>H52+I52-J52</f>
        <v>349363.09</v>
      </c>
      <c r="L52" s="15">
        <f t="shared" si="16"/>
        <v>0</v>
      </c>
      <c r="M52" s="62">
        <f t="shared" si="13"/>
        <v>-1.3387762010097504E-9</v>
      </c>
      <c r="N52" s="272"/>
    </row>
    <row r="53" spans="1:18" x14ac:dyDescent="0.2">
      <c r="A53" s="139" t="s">
        <v>30</v>
      </c>
      <c r="B53" s="10">
        <v>21170988.52</v>
      </c>
      <c r="C53" s="10">
        <f>+B53-21163370.79</f>
        <v>7617.730000000447</v>
      </c>
      <c r="D53" s="11">
        <v>0</v>
      </c>
      <c r="E53" s="10">
        <v>0</v>
      </c>
      <c r="F53" s="12">
        <f>+E53/C53</f>
        <v>0</v>
      </c>
      <c r="G53" s="109">
        <f t="shared" si="12"/>
        <v>7617.730000000447</v>
      </c>
      <c r="H53" s="13">
        <v>113156.96</v>
      </c>
      <c r="I53" s="14">
        <f>63664.06+25043.71</f>
        <v>88707.76999999999</v>
      </c>
      <c r="J53" s="14">
        <f>170257+6000+17990</f>
        <v>194247</v>
      </c>
      <c r="K53" s="14">
        <f>H53+I53-J53</f>
        <v>7617.7299999999814</v>
      </c>
      <c r="L53" s="15">
        <f t="shared" si="16"/>
        <v>0</v>
      </c>
      <c r="M53" s="107">
        <f t="shared" si="13"/>
        <v>-4.6566128730773926E-10</v>
      </c>
      <c r="N53" s="273"/>
      <c r="Q53" s="141"/>
      <c r="R53" s="144"/>
    </row>
    <row r="54" spans="1:18" ht="27" x14ac:dyDescent="0.2">
      <c r="A54" s="139" t="s">
        <v>56</v>
      </c>
      <c r="B54" s="10">
        <v>1500000</v>
      </c>
      <c r="C54" s="10">
        <f>1500000-1499965.2</f>
        <v>34.800000000046566</v>
      </c>
      <c r="D54" s="11">
        <v>0</v>
      </c>
      <c r="E54" s="10">
        <v>0</v>
      </c>
      <c r="F54" s="12">
        <f>+E54/C54</f>
        <v>0</v>
      </c>
      <c r="G54" s="109">
        <f t="shared" si="12"/>
        <v>34.800000000046566</v>
      </c>
      <c r="H54" s="13">
        <v>34.799999999999997</v>
      </c>
      <c r="I54" s="14">
        <v>0</v>
      </c>
      <c r="J54" s="14">
        <v>0</v>
      </c>
      <c r="K54" s="14">
        <f>H54+I54-J54</f>
        <v>34.799999999999997</v>
      </c>
      <c r="L54" s="15">
        <f t="shared" si="16"/>
        <v>0</v>
      </c>
      <c r="M54" s="107">
        <f t="shared" si="13"/>
        <v>-4.6568970901716966E-11</v>
      </c>
      <c r="N54" s="273"/>
      <c r="Q54" s="141"/>
      <c r="R54" s="144"/>
    </row>
    <row r="55" spans="1:18" x14ac:dyDescent="0.2">
      <c r="A55" s="139" t="s">
        <v>58</v>
      </c>
      <c r="B55" s="10">
        <v>8800000</v>
      </c>
      <c r="C55" s="10">
        <f>+B55-8793327.97</f>
        <v>6672.0299999993294</v>
      </c>
      <c r="D55" s="11">
        <v>0</v>
      </c>
      <c r="E55" s="10">
        <v>0</v>
      </c>
      <c r="F55" s="12">
        <f>+E55/C55</f>
        <v>0</v>
      </c>
      <c r="G55" s="109">
        <f t="shared" si="12"/>
        <v>6672.0299999993294</v>
      </c>
      <c r="H55" s="13">
        <v>136749.53</v>
      </c>
      <c r="I55" s="14">
        <v>0</v>
      </c>
      <c r="J55" s="14">
        <f>75804.55+37902.27+11370.68+5000</f>
        <v>130077.5</v>
      </c>
      <c r="K55" s="14">
        <f>H55+I55-J55</f>
        <v>6672.0299999999988</v>
      </c>
      <c r="L55" s="15">
        <f t="shared" si="16"/>
        <v>0</v>
      </c>
      <c r="M55" s="107">
        <f t="shared" si="13"/>
        <v>6.6938810050487518E-10</v>
      </c>
      <c r="N55" s="273"/>
      <c r="Q55" s="141"/>
      <c r="R55" s="144"/>
    </row>
    <row r="56" spans="1:18" x14ac:dyDescent="0.2">
      <c r="A56" s="139" t="s">
        <v>57</v>
      </c>
      <c r="B56" s="10">
        <v>3362600</v>
      </c>
      <c r="C56" s="10">
        <f>+B56-3361389.36</f>
        <v>1210.6400000001304</v>
      </c>
      <c r="D56" s="11">
        <v>0</v>
      </c>
      <c r="E56" s="10">
        <v>0</v>
      </c>
      <c r="F56" s="12">
        <f>+E56/C56</f>
        <v>0</v>
      </c>
      <c r="G56" s="109">
        <f t="shared" si="12"/>
        <v>1210.6400000001304</v>
      </c>
      <c r="H56" s="13">
        <v>54023.49</v>
      </c>
      <c r="I56" s="14">
        <v>0</v>
      </c>
      <c r="J56" s="14">
        <f>28977.48+14488.74+4346.63+5000</f>
        <v>52812.85</v>
      </c>
      <c r="K56" s="14">
        <f>H56+I56-J56</f>
        <v>1210.6399999999994</v>
      </c>
      <c r="L56" s="15">
        <f t="shared" si="16"/>
        <v>0</v>
      </c>
      <c r="M56" s="107">
        <f t="shared" si="13"/>
        <v>-1.3096723705530167E-10</v>
      </c>
      <c r="N56" s="273"/>
      <c r="Q56" s="141"/>
      <c r="R56" s="144"/>
    </row>
    <row r="57" spans="1:18" s="5" customFormat="1" x14ac:dyDescent="0.2">
      <c r="A57" s="20" t="s">
        <v>51</v>
      </c>
      <c r="B57" s="21">
        <f t="shared" ref="B57:K57" si="17">SUM(B43:B53)</f>
        <v>103250242.27999999</v>
      </c>
      <c r="C57" s="21">
        <f t="shared" si="17"/>
        <v>28833103.990000006</v>
      </c>
      <c r="D57" s="21">
        <f t="shared" si="17"/>
        <v>186451.15</v>
      </c>
      <c r="E57" s="21">
        <f t="shared" si="17"/>
        <v>27921430.050000001</v>
      </c>
      <c r="F57" s="21">
        <f t="shared" si="17"/>
        <v>5.1239966036389255</v>
      </c>
      <c r="G57" s="21">
        <f t="shared" si="17"/>
        <v>1098125.0900000017</v>
      </c>
      <c r="H57" s="21">
        <f t="shared" si="17"/>
        <v>1706025.83</v>
      </c>
      <c r="I57" s="21">
        <f t="shared" si="17"/>
        <v>1021607.79</v>
      </c>
      <c r="J57" s="21">
        <f t="shared" si="17"/>
        <v>1629508.5300000003</v>
      </c>
      <c r="K57" s="21">
        <f t="shared" si="17"/>
        <v>1098125.0899999999</v>
      </c>
      <c r="L57" s="23"/>
      <c r="M57" s="61"/>
      <c r="N57" s="203"/>
      <c r="O57" s="143"/>
      <c r="P57" s="143"/>
    </row>
    <row r="58" spans="1:18" s="17" customFormat="1" x14ac:dyDescent="0.25">
      <c r="A58" s="139" t="s">
        <v>18</v>
      </c>
      <c r="B58" s="10">
        <f>+C58</f>
        <v>557287.6400000006</v>
      </c>
      <c r="C58" s="10">
        <f>9497181.34-8522902.7-416991</f>
        <v>557287.6400000006</v>
      </c>
      <c r="D58" s="11">
        <v>0</v>
      </c>
      <c r="E58" s="10">
        <v>2038.23</v>
      </c>
      <c r="F58" s="12">
        <f>+E58/C58</f>
        <v>3.657411099230548E-3</v>
      </c>
      <c r="G58" s="10">
        <f>+C58+D58-E58</f>
        <v>555249.41000000061</v>
      </c>
      <c r="H58" s="13">
        <f>362224.72-0.47</f>
        <v>362224.25</v>
      </c>
      <c r="I58" s="14">
        <f>22013.2+172259.48</f>
        <v>194272.68000000002</v>
      </c>
      <c r="J58" s="14">
        <f>-4302.52+5550.04</f>
        <v>1247.5199999999995</v>
      </c>
      <c r="K58" s="14">
        <f>H58+I58-J58</f>
        <v>555249.41</v>
      </c>
      <c r="L58" s="15">
        <f>+F58</f>
        <v>3.657411099230548E-3</v>
      </c>
      <c r="M58" s="155">
        <f t="shared" ref="M58:M67" si="18">+K58-G58</f>
        <v>0</v>
      </c>
      <c r="N58" s="187"/>
      <c r="O58" s="142"/>
      <c r="P58" s="142"/>
    </row>
    <row r="59" spans="1:18" x14ac:dyDescent="0.2">
      <c r="A59" s="139" t="s">
        <v>20</v>
      </c>
      <c r="B59" s="10">
        <v>0</v>
      </c>
      <c r="C59" s="10">
        <f>981063.54-174602.54</f>
        <v>806461</v>
      </c>
      <c r="D59" s="11">
        <v>0</v>
      </c>
      <c r="E59" s="10">
        <v>0</v>
      </c>
      <c r="F59" s="12">
        <f t="shared" ref="F59:F68" si="19">+E59/C59</f>
        <v>0</v>
      </c>
      <c r="G59" s="10">
        <f>+C59+D59-E59</f>
        <v>806461</v>
      </c>
      <c r="H59" s="13">
        <v>1795340.56</v>
      </c>
      <c r="I59" s="14">
        <v>1162</v>
      </c>
      <c r="J59" s="14">
        <f>272555.03+160187.53+557299</f>
        <v>990041.56</v>
      </c>
      <c r="K59" s="14">
        <f t="shared" ref="K59:K84" si="20">H59+I59-J59</f>
        <v>806461</v>
      </c>
      <c r="L59" s="15">
        <f t="shared" ref="L59:L68" si="21">+F59</f>
        <v>0</v>
      </c>
      <c r="M59" s="62">
        <f>+K59-G59</f>
        <v>0</v>
      </c>
      <c r="N59" s="272"/>
    </row>
    <row r="60" spans="1:18" x14ac:dyDescent="0.2">
      <c r="A60" s="139" t="s">
        <v>21</v>
      </c>
      <c r="B60" s="10">
        <f t="shared" ref="B60:B68" si="22">+C60</f>
        <v>465.82999999998719</v>
      </c>
      <c r="C60" s="10">
        <f>266576.99-80893-185218.16</f>
        <v>465.82999999998719</v>
      </c>
      <c r="D60" s="11">
        <v>0</v>
      </c>
      <c r="E60" s="10">
        <v>0</v>
      </c>
      <c r="F60" s="12">
        <f t="shared" si="19"/>
        <v>0</v>
      </c>
      <c r="G60" s="10">
        <f>+C60+D60-E60</f>
        <v>465.82999999998719</v>
      </c>
      <c r="H60" s="13">
        <v>465.83</v>
      </c>
      <c r="I60" s="14">
        <v>0</v>
      </c>
      <c r="J60" s="14">
        <v>0</v>
      </c>
      <c r="K60" s="14">
        <f t="shared" si="20"/>
        <v>465.83</v>
      </c>
      <c r="L60" s="15">
        <f t="shared" si="21"/>
        <v>0</v>
      </c>
      <c r="M60" s="155">
        <f t="shared" si="18"/>
        <v>1.2789769243681803E-11</v>
      </c>
    </row>
    <row r="61" spans="1:18" x14ac:dyDescent="0.2">
      <c r="A61" s="139" t="s">
        <v>22</v>
      </c>
      <c r="B61" s="10">
        <f t="shared" si="22"/>
        <v>6067.4599999999627</v>
      </c>
      <c r="C61" s="10">
        <f>375412.66-201977-167368.2</f>
        <v>6067.4599999999627</v>
      </c>
      <c r="D61" s="10">
        <v>149.51</v>
      </c>
      <c r="E61" s="10">
        <v>0</v>
      </c>
      <c r="F61" s="12">
        <f t="shared" si="19"/>
        <v>0</v>
      </c>
      <c r="G61" s="10">
        <f t="shared" ref="G61:G66" si="23">+C61+D61-E61</f>
        <v>6216.969999999963</v>
      </c>
      <c r="H61" s="13">
        <v>6216.97</v>
      </c>
      <c r="I61" s="14">
        <v>0</v>
      </c>
      <c r="J61" s="14">
        <v>0</v>
      </c>
      <c r="K61" s="14">
        <f t="shared" si="20"/>
        <v>6216.97</v>
      </c>
      <c r="L61" s="15">
        <f t="shared" si="21"/>
        <v>0</v>
      </c>
      <c r="M61" s="62">
        <f t="shared" si="18"/>
        <v>3.7289282772690058E-11</v>
      </c>
    </row>
    <row r="62" spans="1:18" x14ac:dyDescent="0.2">
      <c r="A62" s="139" t="s">
        <v>23</v>
      </c>
      <c r="B62" s="10">
        <f t="shared" si="22"/>
        <v>17016.04999999993</v>
      </c>
      <c r="C62" s="10">
        <f>1302246.39-788192.61-497037.73</f>
        <v>17016.04999999993</v>
      </c>
      <c r="D62" s="10">
        <v>408.58</v>
      </c>
      <c r="E62" s="10">
        <v>0</v>
      </c>
      <c r="F62" s="12">
        <f t="shared" si="19"/>
        <v>0</v>
      </c>
      <c r="G62" s="10">
        <f t="shared" si="23"/>
        <v>17424.629999999932</v>
      </c>
      <c r="H62" s="13">
        <v>17424.63</v>
      </c>
      <c r="I62" s="14">
        <v>0</v>
      </c>
      <c r="J62" s="14">
        <v>0</v>
      </c>
      <c r="K62" s="14">
        <f t="shared" si="20"/>
        <v>17424.63</v>
      </c>
      <c r="L62" s="15">
        <f t="shared" si="21"/>
        <v>0</v>
      </c>
      <c r="M62" s="155">
        <f t="shared" si="18"/>
        <v>6.9121597334742546E-11</v>
      </c>
    </row>
    <row r="63" spans="1:18" x14ac:dyDescent="0.2">
      <c r="A63" s="139" t="s">
        <v>24</v>
      </c>
      <c r="B63" s="10">
        <f t="shared" si="22"/>
        <v>412246.5499999997</v>
      </c>
      <c r="C63" s="10">
        <f>13636634.35-13212786.17-11601.63</f>
        <v>412246.5499999997</v>
      </c>
      <c r="D63" s="11">
        <v>-459</v>
      </c>
      <c r="E63" s="10">
        <v>0</v>
      </c>
      <c r="F63" s="12">
        <f t="shared" si="19"/>
        <v>0</v>
      </c>
      <c r="G63" s="10">
        <f>+C63+D63-E63</f>
        <v>411787.5499999997</v>
      </c>
      <c r="H63" s="13">
        <v>37530.339999999997</v>
      </c>
      <c r="I63" s="14">
        <v>456237</v>
      </c>
      <c r="J63" s="14">
        <f>52394.42+7312.79+22272.58</f>
        <v>81979.790000000008</v>
      </c>
      <c r="K63" s="14">
        <f t="shared" si="20"/>
        <v>411787.54999999993</v>
      </c>
      <c r="L63" s="15">
        <f t="shared" si="21"/>
        <v>0</v>
      </c>
      <c r="M63" s="62">
        <f t="shared" si="18"/>
        <v>0</v>
      </c>
    </row>
    <row r="64" spans="1:18" x14ac:dyDescent="0.2">
      <c r="A64" s="139" t="s">
        <v>25</v>
      </c>
      <c r="B64" s="10">
        <f t="shared" si="22"/>
        <v>5151.3900000000722</v>
      </c>
      <c r="C64" s="10">
        <f>868753.03-542712.97-320888.67</f>
        <v>5151.3900000000722</v>
      </c>
      <c r="D64" s="10">
        <v>131.31</v>
      </c>
      <c r="E64" s="10">
        <v>0</v>
      </c>
      <c r="F64" s="12">
        <f t="shared" si="19"/>
        <v>0</v>
      </c>
      <c r="G64" s="10">
        <f t="shared" si="23"/>
        <v>5282.7000000000726</v>
      </c>
      <c r="H64" s="13">
        <v>5282.7</v>
      </c>
      <c r="I64" s="14">
        <v>0</v>
      </c>
      <c r="J64" s="14">
        <v>0</v>
      </c>
      <c r="K64" s="14">
        <f t="shared" si="20"/>
        <v>5282.7</v>
      </c>
      <c r="L64" s="15">
        <f t="shared" si="21"/>
        <v>0</v>
      </c>
      <c r="M64" s="155">
        <f t="shared" si="18"/>
        <v>-7.2759576141834259E-11</v>
      </c>
    </row>
    <row r="65" spans="1:16" x14ac:dyDescent="0.2">
      <c r="A65" s="139" t="s">
        <v>27</v>
      </c>
      <c r="B65" s="10">
        <f t="shared" si="22"/>
        <v>3767.3699999999953</v>
      </c>
      <c r="C65" s="10">
        <f>573447.69-569680.32</f>
        <v>3767.3699999999953</v>
      </c>
      <c r="D65" s="11">
        <v>0</v>
      </c>
      <c r="E65" s="10">
        <v>0</v>
      </c>
      <c r="F65" s="12">
        <f t="shared" si="19"/>
        <v>0</v>
      </c>
      <c r="G65" s="10">
        <f t="shared" si="23"/>
        <v>3767.3699999999953</v>
      </c>
      <c r="H65" s="13">
        <v>3767.37</v>
      </c>
      <c r="I65" s="14">
        <v>0</v>
      </c>
      <c r="J65" s="14">
        <v>0</v>
      </c>
      <c r="K65" s="14">
        <f t="shared" si="20"/>
        <v>3767.37</v>
      </c>
      <c r="L65" s="15">
        <f t="shared" si="21"/>
        <v>0</v>
      </c>
      <c r="M65" s="62">
        <f t="shared" si="18"/>
        <v>4.5474735088646412E-12</v>
      </c>
    </row>
    <row r="66" spans="1:16" x14ac:dyDescent="0.2">
      <c r="A66" s="139" t="s">
        <v>28</v>
      </c>
      <c r="B66" s="10">
        <f t="shared" si="22"/>
        <v>542.31999999999971</v>
      </c>
      <c r="C66" s="10">
        <f>36484.65-0-35942.33</f>
        <v>542.31999999999971</v>
      </c>
      <c r="D66" s="11">
        <v>0</v>
      </c>
      <c r="E66" s="10">
        <v>0</v>
      </c>
      <c r="F66" s="12">
        <f t="shared" si="19"/>
        <v>0</v>
      </c>
      <c r="G66" s="10">
        <f t="shared" si="23"/>
        <v>542.31999999999971</v>
      </c>
      <c r="H66" s="13">
        <v>542.32000000000005</v>
      </c>
      <c r="I66" s="14">
        <v>0</v>
      </c>
      <c r="J66" s="14">
        <v>0</v>
      </c>
      <c r="K66" s="14">
        <f t="shared" si="20"/>
        <v>542.32000000000005</v>
      </c>
      <c r="L66" s="15">
        <f t="shared" si="21"/>
        <v>0</v>
      </c>
      <c r="M66" s="155">
        <f t="shared" si="18"/>
        <v>0</v>
      </c>
    </row>
    <row r="67" spans="1:16" x14ac:dyDescent="0.2">
      <c r="A67" s="139" t="s">
        <v>29</v>
      </c>
      <c r="B67" s="10">
        <f>+C67</f>
        <v>489577.01999999862</v>
      </c>
      <c r="C67" s="10">
        <f>25804148.7-21535015.98-3779555.7</f>
        <v>489577.01999999862</v>
      </c>
      <c r="D67" s="45"/>
      <c r="E67" s="10">
        <v>0</v>
      </c>
      <c r="F67" s="12">
        <f t="shared" si="19"/>
        <v>0</v>
      </c>
      <c r="G67" s="10">
        <f>+C67+D67-E67</f>
        <v>489577.01999999862</v>
      </c>
      <c r="H67" s="13">
        <f>2255525.44-1688966.46</f>
        <v>566558.98</v>
      </c>
      <c r="I67" s="14">
        <v>122706.07</v>
      </c>
      <c r="J67" s="14">
        <f>20016.25+99956.62+61086.68+18628.48</f>
        <v>199688.03</v>
      </c>
      <c r="K67" s="14">
        <f>H67+I67-J67</f>
        <v>489577.02</v>
      </c>
      <c r="L67" s="15">
        <f t="shared" si="21"/>
        <v>0</v>
      </c>
      <c r="M67" s="62">
        <f t="shared" si="18"/>
        <v>1.3969838619232178E-9</v>
      </c>
      <c r="N67" s="272"/>
    </row>
    <row r="68" spans="1:16" x14ac:dyDescent="0.2">
      <c r="A68" s="139" t="s">
        <v>30</v>
      </c>
      <c r="B68" s="10">
        <f t="shared" si="22"/>
        <v>193749.02000000025</v>
      </c>
      <c r="C68" s="10">
        <f>19272341-17976826.68-1101765.3</f>
        <v>193749.02000000025</v>
      </c>
      <c r="D68" s="10">
        <v>4227.0200000000004</v>
      </c>
      <c r="E68" s="10">
        <v>0</v>
      </c>
      <c r="F68" s="12">
        <f t="shared" si="19"/>
        <v>0</v>
      </c>
      <c r="G68" s="10">
        <f>+C68+D68-E68</f>
        <v>197976.04000000024</v>
      </c>
      <c r="H68" s="13">
        <v>171700.75</v>
      </c>
      <c r="I68" s="14">
        <v>296402</v>
      </c>
      <c r="J68" s="14">
        <f>26299+244312.48</f>
        <v>270611.48</v>
      </c>
      <c r="K68" s="14">
        <f>H68+I68-J68</f>
        <v>197491.27000000002</v>
      </c>
      <c r="L68" s="15">
        <f t="shared" si="21"/>
        <v>0</v>
      </c>
      <c r="M68" s="155">
        <f>+K68-G68</f>
        <v>-484.77000000022235</v>
      </c>
      <c r="N68" s="273"/>
    </row>
    <row r="69" spans="1:16" s="5" customFormat="1" x14ac:dyDescent="0.2">
      <c r="A69" s="20" t="s">
        <v>33</v>
      </c>
      <c r="B69" s="21">
        <f>SUM(B58:B68)</f>
        <v>1685870.649999999</v>
      </c>
      <c r="C69" s="21">
        <f>SUM(C58:C68)</f>
        <v>2492331.6499999994</v>
      </c>
      <c r="D69" s="21">
        <f>SUM(D58:D68)</f>
        <v>4457.42</v>
      </c>
      <c r="E69" s="21">
        <f>SUM(E58:E68)</f>
        <v>2038.23</v>
      </c>
      <c r="F69" s="22">
        <f>+E69/C69</f>
        <v>8.178004721000917E-4</v>
      </c>
      <c r="G69" s="21">
        <f>SUM(G58:G68)</f>
        <v>2494750.8399999989</v>
      </c>
      <c r="H69" s="21">
        <f>SUM(H58:H68)</f>
        <v>2967054.7</v>
      </c>
      <c r="I69" s="21">
        <f>SUM(I58:I68)</f>
        <v>1070779.75</v>
      </c>
      <c r="J69" s="21">
        <f>SUM(J58:J68)</f>
        <v>1543568.3800000001</v>
      </c>
      <c r="K69" s="21">
        <f>SUM(K58:K68)</f>
        <v>2494266.0700000003</v>
      </c>
      <c r="L69" s="23"/>
      <c r="M69" s="62">
        <f t="shared" ref="M69:M85" si="24">+K69-G69</f>
        <v>-484.76999999862164</v>
      </c>
      <c r="N69" s="203"/>
      <c r="O69" s="143"/>
      <c r="P69" s="143"/>
    </row>
    <row r="70" spans="1:16" x14ac:dyDescent="0.2">
      <c r="A70" s="139" t="s">
        <v>34</v>
      </c>
      <c r="B70" s="10">
        <v>0</v>
      </c>
      <c r="C70" s="10">
        <v>256006.06</v>
      </c>
      <c r="D70" s="13">
        <v>440.75</v>
      </c>
      <c r="E70" s="10">
        <v>0</v>
      </c>
      <c r="F70" s="12">
        <v>0</v>
      </c>
      <c r="G70" s="10">
        <f>+C70+D70-E70</f>
        <v>256446.81</v>
      </c>
      <c r="H70" s="10">
        <v>238695.02</v>
      </c>
      <c r="I70" s="10">
        <v>30099.8</v>
      </c>
      <c r="J70" s="10">
        <v>12348.01</v>
      </c>
      <c r="K70" s="10">
        <f t="shared" si="20"/>
        <v>256446.81</v>
      </c>
      <c r="L70" s="15"/>
      <c r="M70" s="62">
        <f t="shared" si="24"/>
        <v>0</v>
      </c>
    </row>
    <row r="71" spans="1:16" x14ac:dyDescent="0.2">
      <c r="A71" s="20" t="s">
        <v>35</v>
      </c>
      <c r="B71" s="25">
        <f t="shared" ref="B71:K71" si="25">SUM(B70:B70)</f>
        <v>0</v>
      </c>
      <c r="C71" s="25">
        <f t="shared" si="25"/>
        <v>256006.06</v>
      </c>
      <c r="D71" s="25">
        <f t="shared" si="25"/>
        <v>440.75</v>
      </c>
      <c r="E71" s="25">
        <f t="shared" si="25"/>
        <v>0</v>
      </c>
      <c r="F71" s="25">
        <f t="shared" si="25"/>
        <v>0</v>
      </c>
      <c r="G71" s="25">
        <f t="shared" si="25"/>
        <v>256446.81</v>
      </c>
      <c r="H71" s="25">
        <f t="shared" si="25"/>
        <v>238695.02</v>
      </c>
      <c r="I71" s="25">
        <f t="shared" si="25"/>
        <v>30099.8</v>
      </c>
      <c r="J71" s="25">
        <f t="shared" si="25"/>
        <v>12348.01</v>
      </c>
      <c r="K71" s="25">
        <f t="shared" si="25"/>
        <v>256446.81</v>
      </c>
      <c r="L71" s="27"/>
      <c r="M71" s="62">
        <f t="shared" si="24"/>
        <v>0</v>
      </c>
    </row>
    <row r="72" spans="1:16" x14ac:dyDescent="0.2">
      <c r="A72" s="139" t="s">
        <v>18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0.47</v>
      </c>
      <c r="H72" s="10">
        <v>0.47</v>
      </c>
      <c r="I72" s="10">
        <v>0</v>
      </c>
      <c r="J72" s="10">
        <v>0</v>
      </c>
      <c r="K72" s="10">
        <f t="shared" si="20"/>
        <v>0.47</v>
      </c>
      <c r="L72" s="15"/>
      <c r="M72" s="62">
        <f t="shared" si="24"/>
        <v>0</v>
      </c>
    </row>
    <row r="73" spans="1:16" x14ac:dyDescent="0.2">
      <c r="A73" s="139" t="s">
        <v>29</v>
      </c>
      <c r="B73" s="10">
        <v>0</v>
      </c>
      <c r="C73" s="10">
        <v>0</v>
      </c>
      <c r="D73" s="10">
        <v>0</v>
      </c>
      <c r="E73" s="10">
        <v>0</v>
      </c>
      <c r="F73" s="12">
        <v>0</v>
      </c>
      <c r="G73" s="10">
        <v>17.399999999999999</v>
      </c>
      <c r="H73" s="10">
        <v>17.399999999999999</v>
      </c>
      <c r="I73" s="10"/>
      <c r="J73" s="10">
        <v>0</v>
      </c>
      <c r="K73" s="10">
        <f t="shared" si="20"/>
        <v>17.399999999999999</v>
      </c>
      <c r="L73" s="15"/>
      <c r="M73" s="62">
        <f t="shared" si="24"/>
        <v>0</v>
      </c>
    </row>
    <row r="74" spans="1:16" x14ac:dyDescent="0.2">
      <c r="A74" s="20" t="s">
        <v>37</v>
      </c>
      <c r="B74" s="25">
        <f t="shared" ref="B74:K74" si="26">SUM(B72:B73)</f>
        <v>0</v>
      </c>
      <c r="C74" s="25">
        <f t="shared" si="26"/>
        <v>0</v>
      </c>
      <c r="D74" s="25">
        <f t="shared" si="26"/>
        <v>0</v>
      </c>
      <c r="E74" s="25">
        <f t="shared" si="26"/>
        <v>0</v>
      </c>
      <c r="F74" s="25">
        <f t="shared" si="26"/>
        <v>0</v>
      </c>
      <c r="G74" s="25">
        <f t="shared" si="26"/>
        <v>17.869999999999997</v>
      </c>
      <c r="H74" s="25">
        <f t="shared" si="26"/>
        <v>17.869999999999997</v>
      </c>
      <c r="I74" s="25">
        <f t="shared" si="26"/>
        <v>0</v>
      </c>
      <c r="J74" s="25">
        <f t="shared" si="26"/>
        <v>0</v>
      </c>
      <c r="K74" s="25">
        <f t="shared" si="26"/>
        <v>17.869999999999997</v>
      </c>
      <c r="L74" s="27"/>
      <c r="M74" s="62">
        <f>+K74-G74</f>
        <v>0</v>
      </c>
    </row>
    <row r="75" spans="1:16" x14ac:dyDescent="0.2">
      <c r="A75" s="139" t="s">
        <v>18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1392</v>
      </c>
      <c r="H75" s="10">
        <v>1392</v>
      </c>
      <c r="I75" s="10">
        <v>0</v>
      </c>
      <c r="J75" s="10">
        <v>0</v>
      </c>
      <c r="K75" s="10">
        <f t="shared" si="20"/>
        <v>1392</v>
      </c>
      <c r="L75" s="15"/>
      <c r="M75" s="62">
        <f t="shared" si="24"/>
        <v>0</v>
      </c>
    </row>
    <row r="76" spans="1:16" x14ac:dyDescent="0.2">
      <c r="A76" s="139" t="s">
        <v>20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382.8</v>
      </c>
      <c r="H76" s="10">
        <v>382.8</v>
      </c>
      <c r="I76" s="10">
        <v>0</v>
      </c>
      <c r="J76" s="10">
        <v>0</v>
      </c>
      <c r="K76" s="10">
        <f t="shared" si="20"/>
        <v>382.8</v>
      </c>
      <c r="L76" s="15"/>
      <c r="M76" s="62">
        <f t="shared" si="24"/>
        <v>0</v>
      </c>
    </row>
    <row r="77" spans="1:16" x14ac:dyDescent="0.2">
      <c r="A77" s="139" t="s">
        <v>29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242057.67</v>
      </c>
      <c r="H77" s="10">
        <v>242057.67</v>
      </c>
      <c r="I77" s="10">
        <v>0</v>
      </c>
      <c r="J77" s="10">
        <v>0</v>
      </c>
      <c r="K77" s="10">
        <f t="shared" si="20"/>
        <v>242057.67</v>
      </c>
      <c r="L77" s="15"/>
      <c r="M77" s="62">
        <f t="shared" si="24"/>
        <v>0</v>
      </c>
    </row>
    <row r="78" spans="1:16" x14ac:dyDescent="0.2">
      <c r="A78" s="20" t="s">
        <v>38</v>
      </c>
      <c r="B78" s="25">
        <f t="shared" ref="B78:K78" si="27">SUM(B75:B77)</f>
        <v>0</v>
      </c>
      <c r="C78" s="25">
        <f t="shared" si="27"/>
        <v>0</v>
      </c>
      <c r="D78" s="25">
        <f t="shared" si="27"/>
        <v>0</v>
      </c>
      <c r="E78" s="25">
        <f t="shared" si="27"/>
        <v>0</v>
      </c>
      <c r="F78" s="25">
        <f t="shared" si="27"/>
        <v>0</v>
      </c>
      <c r="G78" s="25">
        <f t="shared" si="27"/>
        <v>243832.47</v>
      </c>
      <c r="H78" s="25">
        <f t="shared" si="27"/>
        <v>243832.47</v>
      </c>
      <c r="I78" s="25">
        <f t="shared" si="27"/>
        <v>0</v>
      </c>
      <c r="J78" s="25">
        <f t="shared" si="27"/>
        <v>0</v>
      </c>
      <c r="K78" s="25">
        <f t="shared" si="27"/>
        <v>243832.47</v>
      </c>
      <c r="L78" s="27"/>
      <c r="M78" s="62">
        <f t="shared" si="24"/>
        <v>0</v>
      </c>
    </row>
    <row r="79" spans="1:16" x14ac:dyDescent="0.2">
      <c r="A79" s="139" t="s">
        <v>36</v>
      </c>
      <c r="B79" s="10">
        <v>0</v>
      </c>
      <c r="C79" s="10">
        <v>0</v>
      </c>
      <c r="D79" s="10"/>
      <c r="E79" s="10">
        <v>0</v>
      </c>
      <c r="F79" s="12">
        <v>0</v>
      </c>
      <c r="G79" s="10">
        <v>-10</v>
      </c>
      <c r="H79" s="10">
        <v>-10</v>
      </c>
      <c r="I79" s="10">
        <v>0</v>
      </c>
      <c r="J79" s="10">
        <v>0</v>
      </c>
      <c r="K79" s="10">
        <f t="shared" si="20"/>
        <v>-10</v>
      </c>
      <c r="L79" s="15"/>
      <c r="M79" s="62">
        <f t="shared" si="24"/>
        <v>0</v>
      </c>
    </row>
    <row r="80" spans="1:16" x14ac:dyDescent="0.2">
      <c r="A80" s="139" t="s">
        <v>20</v>
      </c>
      <c r="B80" s="10">
        <v>0</v>
      </c>
      <c r="C80" s="10">
        <v>0</v>
      </c>
      <c r="D80" s="10"/>
      <c r="E80" s="10">
        <v>0</v>
      </c>
      <c r="F80" s="12">
        <v>0</v>
      </c>
      <c r="G80" s="10">
        <v>219.47</v>
      </c>
      <c r="H80" s="10">
        <v>219.47</v>
      </c>
      <c r="I80" s="10">
        <v>0</v>
      </c>
      <c r="J80" s="10">
        <v>0</v>
      </c>
      <c r="K80" s="10">
        <f t="shared" si="20"/>
        <v>219.47</v>
      </c>
      <c r="L80" s="15"/>
      <c r="M80" s="62">
        <f t="shared" si="24"/>
        <v>0</v>
      </c>
    </row>
    <row r="81" spans="1:13" x14ac:dyDescent="0.2">
      <c r="A81" s="139" t="s">
        <v>24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1150.8900000000001</v>
      </c>
      <c r="H81" s="10">
        <v>42631.81</v>
      </c>
      <c r="I81" s="10">
        <v>412765.08</v>
      </c>
      <c r="J81" s="10">
        <v>454246</v>
      </c>
      <c r="K81" s="10">
        <f t="shared" si="20"/>
        <v>1150.890000000014</v>
      </c>
      <c r="L81" s="15"/>
      <c r="M81" s="62">
        <f t="shared" si="24"/>
        <v>1.3869794202037156E-11</v>
      </c>
    </row>
    <row r="82" spans="1:13" x14ac:dyDescent="0.2">
      <c r="A82" s="139" t="s">
        <v>25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719.87</v>
      </c>
      <c r="H82" s="10">
        <v>719.87</v>
      </c>
      <c r="I82" s="10">
        <v>0</v>
      </c>
      <c r="J82" s="10">
        <v>0</v>
      </c>
      <c r="K82" s="10">
        <f t="shared" si="20"/>
        <v>719.87</v>
      </c>
      <c r="L82" s="15"/>
      <c r="M82" s="62">
        <f t="shared" si="24"/>
        <v>0</v>
      </c>
    </row>
    <row r="83" spans="1:13" x14ac:dyDescent="0.2">
      <c r="A83" s="139" t="s">
        <v>27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267528.84000000003</v>
      </c>
      <c r="H83" s="10">
        <v>0</v>
      </c>
      <c r="I83" s="10">
        <v>267528.84000000003</v>
      </c>
      <c r="J83" s="10">
        <v>0</v>
      </c>
      <c r="K83" s="10">
        <f t="shared" si="20"/>
        <v>267528.84000000003</v>
      </c>
      <c r="L83" s="15"/>
      <c r="M83" s="62">
        <f t="shared" si="24"/>
        <v>0</v>
      </c>
    </row>
    <row r="84" spans="1:13" x14ac:dyDescent="0.2">
      <c r="A84" s="139" t="s">
        <v>29</v>
      </c>
      <c r="B84" s="10">
        <v>0</v>
      </c>
      <c r="C84" s="10">
        <v>0</v>
      </c>
      <c r="D84" s="10"/>
      <c r="E84" s="10">
        <v>0</v>
      </c>
      <c r="F84" s="12">
        <v>0</v>
      </c>
      <c r="G84" s="10">
        <v>236767.4</v>
      </c>
      <c r="H84" s="10">
        <v>243581.68</v>
      </c>
      <c r="I84" s="10">
        <v>0</v>
      </c>
      <c r="J84" s="10">
        <f>2827.74+3986.54</f>
        <v>6814.28</v>
      </c>
      <c r="K84" s="10">
        <f t="shared" si="20"/>
        <v>236767.4</v>
      </c>
      <c r="L84" s="15"/>
      <c r="M84" s="62">
        <f t="shared" si="24"/>
        <v>0</v>
      </c>
    </row>
    <row r="85" spans="1:13" x14ac:dyDescent="0.2">
      <c r="A85" s="20" t="s">
        <v>39</v>
      </c>
      <c r="B85" s="25">
        <f t="shared" ref="B85:K85" si="28">SUM(B79:B84)</f>
        <v>0</v>
      </c>
      <c r="C85" s="25">
        <f t="shared" si="28"/>
        <v>0</v>
      </c>
      <c r="D85" s="25">
        <f t="shared" si="28"/>
        <v>0</v>
      </c>
      <c r="E85" s="25">
        <f t="shared" si="28"/>
        <v>0</v>
      </c>
      <c r="F85" s="25">
        <f t="shared" si="28"/>
        <v>0</v>
      </c>
      <c r="G85" s="25">
        <f t="shared" si="28"/>
        <v>506376.47</v>
      </c>
      <c r="H85" s="25">
        <f t="shared" si="28"/>
        <v>287142.83</v>
      </c>
      <c r="I85" s="25">
        <f t="shared" si="28"/>
        <v>680293.92</v>
      </c>
      <c r="J85" s="25">
        <f t="shared" si="28"/>
        <v>461060.28</v>
      </c>
      <c r="K85" s="25">
        <f t="shared" si="28"/>
        <v>506376.47000000009</v>
      </c>
      <c r="L85" s="27"/>
      <c r="M85" s="62">
        <f t="shared" si="24"/>
        <v>0</v>
      </c>
    </row>
    <row r="86" spans="1:13" x14ac:dyDescent="0.25">
      <c r="A86" s="20" t="s">
        <v>44</v>
      </c>
      <c r="B86" s="25">
        <f t="shared" ref="B86:K86" si="29">+B57+B69+B71+B74+B78+B85</f>
        <v>104936112.92999999</v>
      </c>
      <c r="C86" s="25">
        <f t="shared" si="29"/>
        <v>31581441.700000003</v>
      </c>
      <c r="D86" s="25">
        <f t="shared" si="29"/>
        <v>191349.32</v>
      </c>
      <c r="E86" s="25">
        <f t="shared" si="29"/>
        <v>27923468.280000001</v>
      </c>
      <c r="F86" s="25">
        <f t="shared" si="29"/>
        <v>5.1248144041110253</v>
      </c>
      <c r="G86" s="25">
        <f t="shared" si="29"/>
        <v>4599549.5500000007</v>
      </c>
      <c r="H86" s="25">
        <f t="shared" si="29"/>
        <v>5442768.7199999997</v>
      </c>
      <c r="I86" s="25">
        <f t="shared" si="29"/>
        <v>2802781.26</v>
      </c>
      <c r="J86" s="25">
        <f t="shared" si="29"/>
        <v>3646485.2</v>
      </c>
      <c r="K86" s="25">
        <f t="shared" si="29"/>
        <v>4599064.78</v>
      </c>
      <c r="L86" s="27"/>
    </row>
    <row r="87" spans="1:13" x14ac:dyDescent="0.25">
      <c r="A87" s="28"/>
      <c r="B87" s="29"/>
      <c r="C87" s="29"/>
      <c r="D87" s="29"/>
      <c r="E87" s="28"/>
      <c r="F87" s="28"/>
      <c r="G87" s="28"/>
      <c r="H87" s="28"/>
      <c r="I87" s="28"/>
      <c r="J87" s="28"/>
      <c r="K87" s="28"/>
      <c r="L87" s="30"/>
    </row>
    <row r="88" spans="1:13" x14ac:dyDescent="0.25">
      <c r="A88" s="140"/>
      <c r="B88" s="19"/>
      <c r="C88" s="333" t="s">
        <v>45</v>
      </c>
      <c r="D88" s="333"/>
      <c r="E88" s="333"/>
      <c r="F88" s="333"/>
      <c r="G88" s="333"/>
      <c r="H88" s="333"/>
      <c r="I88" s="333"/>
      <c r="J88" s="19"/>
      <c r="K88" s="19"/>
      <c r="L88" s="19"/>
    </row>
    <row r="89" spans="1:13" x14ac:dyDescent="0.25">
      <c r="A89" s="140"/>
      <c r="B89" s="19"/>
      <c r="C89" s="300"/>
      <c r="D89" s="300"/>
      <c r="E89" s="300"/>
      <c r="F89" s="300"/>
      <c r="G89" s="300"/>
      <c r="H89" s="300"/>
      <c r="I89" s="300"/>
      <c r="J89" s="19"/>
      <c r="K89" s="19"/>
      <c r="L89" s="19"/>
    </row>
    <row r="90" spans="1:13" x14ac:dyDescent="0.25">
      <c r="A90" s="140"/>
      <c r="B90" s="347" t="s">
        <v>46</v>
      </c>
      <c r="C90" s="348"/>
      <c r="D90" s="326" t="s">
        <v>47</v>
      </c>
      <c r="E90" s="327"/>
      <c r="F90" s="328"/>
      <c r="G90" s="326" t="s">
        <v>48</v>
      </c>
      <c r="H90" s="328"/>
      <c r="I90" s="298" t="s">
        <v>10</v>
      </c>
      <c r="J90" s="19"/>
      <c r="K90" s="19"/>
      <c r="L90" s="19"/>
    </row>
    <row r="91" spans="1:13" x14ac:dyDescent="0.25">
      <c r="A91" s="140"/>
      <c r="B91" s="345" t="s">
        <v>49</v>
      </c>
      <c r="C91" s="346"/>
      <c r="D91" s="330">
        <v>9000000</v>
      </c>
      <c r="E91" s="331"/>
      <c r="F91" s="332">
        <v>0</v>
      </c>
      <c r="G91" s="330">
        <v>0</v>
      </c>
      <c r="H91" s="332"/>
      <c r="I91" s="33">
        <f>G91/D91</f>
        <v>0</v>
      </c>
      <c r="J91" s="19"/>
      <c r="K91" s="19"/>
      <c r="L91" s="19"/>
    </row>
    <row r="92" spans="1:13" x14ac:dyDescent="0.25">
      <c r="A92" s="140"/>
      <c r="B92" s="326"/>
      <c r="C92" s="328"/>
      <c r="D92" s="321"/>
      <c r="E92" s="322"/>
      <c r="F92" s="323"/>
      <c r="G92" s="343"/>
      <c r="H92" s="344"/>
      <c r="I92" s="299"/>
      <c r="J92" s="19"/>
      <c r="K92" s="19"/>
      <c r="L92" s="19"/>
    </row>
    <row r="93" spans="1:13" x14ac:dyDescent="0.25">
      <c r="A93" s="140"/>
      <c r="B93" s="326"/>
      <c r="C93" s="328"/>
      <c r="D93" s="321"/>
      <c r="E93" s="322"/>
      <c r="F93" s="323"/>
      <c r="G93" s="343"/>
      <c r="H93" s="344"/>
      <c r="I93" s="299"/>
      <c r="J93" s="19"/>
      <c r="K93" s="19"/>
      <c r="L93" s="19"/>
    </row>
    <row r="94" spans="1:13" x14ac:dyDescent="0.25">
      <c r="A94" s="140"/>
      <c r="B94" s="326"/>
      <c r="C94" s="328"/>
      <c r="D94" s="321"/>
      <c r="E94" s="322"/>
      <c r="F94" s="323"/>
      <c r="G94" s="343"/>
      <c r="H94" s="344"/>
      <c r="I94" s="299"/>
      <c r="J94" s="19"/>
      <c r="K94" s="19"/>
      <c r="L94" s="19"/>
    </row>
    <row r="95" spans="1:13" x14ac:dyDescent="0.25">
      <c r="A95" s="35" t="s">
        <v>50</v>
      </c>
      <c r="B95" s="36"/>
      <c r="C95" s="36"/>
      <c r="D95" s="36"/>
      <c r="E95" s="36"/>
      <c r="F95" s="36"/>
      <c r="G95" s="37"/>
      <c r="H95" s="37"/>
      <c r="I95" s="38"/>
      <c r="J95" s="19"/>
      <c r="K95" s="19"/>
      <c r="L95" s="19"/>
    </row>
    <row r="97" spans="3:10" x14ac:dyDescent="0.25">
      <c r="C97" s="342" t="s">
        <v>125</v>
      </c>
      <c r="D97" s="342"/>
      <c r="I97" s="342" t="s">
        <v>128</v>
      </c>
      <c r="J97" s="342"/>
    </row>
    <row r="100" spans="3:10" x14ac:dyDescent="0.25">
      <c r="C100" s="342" t="s">
        <v>126</v>
      </c>
      <c r="D100" s="342"/>
      <c r="I100" s="342" t="s">
        <v>129</v>
      </c>
      <c r="J100" s="342"/>
    </row>
    <row r="101" spans="3:10" x14ac:dyDescent="0.25">
      <c r="C101" s="342" t="s">
        <v>127</v>
      </c>
      <c r="D101" s="342"/>
      <c r="I101" s="342" t="s">
        <v>130</v>
      </c>
      <c r="J101" s="342"/>
    </row>
  </sheetData>
  <mergeCells count="39">
    <mergeCell ref="A1:L1"/>
    <mergeCell ref="A3:L3"/>
    <mergeCell ref="A6:L6"/>
    <mergeCell ref="A7:L7"/>
    <mergeCell ref="C8:G8"/>
    <mergeCell ref="H8:K8"/>
    <mergeCell ref="A9:A10"/>
    <mergeCell ref="B9:B10"/>
    <mergeCell ref="C9:C10"/>
    <mergeCell ref="D9:D10"/>
    <mergeCell ref="E9:E10"/>
    <mergeCell ref="J9:J10"/>
    <mergeCell ref="K9:K10"/>
    <mergeCell ref="B90:C90"/>
    <mergeCell ref="D90:F90"/>
    <mergeCell ref="G90:H90"/>
    <mergeCell ref="C88:I88"/>
    <mergeCell ref="F9:F10"/>
    <mergeCell ref="G9:G10"/>
    <mergeCell ref="H9:H10"/>
    <mergeCell ref="I9:I10"/>
    <mergeCell ref="B91:C91"/>
    <mergeCell ref="D91:F91"/>
    <mergeCell ref="G91:H91"/>
    <mergeCell ref="B92:C92"/>
    <mergeCell ref="D92:F92"/>
    <mergeCell ref="G92:H92"/>
    <mergeCell ref="B93:C93"/>
    <mergeCell ref="D93:F93"/>
    <mergeCell ref="G93:H93"/>
    <mergeCell ref="C101:D101"/>
    <mergeCell ref="I101:J101"/>
    <mergeCell ref="B94:C94"/>
    <mergeCell ref="D94:F94"/>
    <mergeCell ref="G94:H94"/>
    <mergeCell ref="C97:D97"/>
    <mergeCell ref="I97:J97"/>
    <mergeCell ref="C100:D100"/>
    <mergeCell ref="I100:J100"/>
  </mergeCells>
  <pageMargins left="0.7" right="0.7" top="0.75" bottom="0.75" header="0.3" footer="0.3"/>
  <pageSetup orientation="portrait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101"/>
  <sheetViews>
    <sheetView tabSelected="1" topLeftCell="A4" zoomScale="120" zoomScaleNormal="120" workbookViewId="0">
      <pane xSplit="1" ySplit="7" topLeftCell="B11" activePane="bottomRight" state="frozen"/>
      <selection activeCell="A4" sqref="A4"/>
      <selection pane="topRight" activeCell="B4" sqref="B4"/>
      <selection pane="bottomLeft" activeCell="A11" sqref="A11"/>
      <selection pane="bottomRight" activeCell="A4" sqref="A1:XFD1048576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24.28515625" style="165" customWidth="1"/>
    <col min="14" max="14" width="16.5703125" style="186" customWidth="1"/>
    <col min="15" max="16" width="16.5703125" style="141"/>
    <col min="17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6" x14ac:dyDescent="0.25">
      <c r="A1" s="334" t="s">
        <v>146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6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334" t="s">
        <v>147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6" x14ac:dyDescent="0.25">
      <c r="A4" s="3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6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</row>
    <row r="6" spans="1:16" x14ac:dyDescent="0.25">
      <c r="A6" s="334" t="s">
        <v>146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6" x14ac:dyDescent="0.25">
      <c r="A7" s="334" t="s">
        <v>179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6" x14ac:dyDescent="0.25">
      <c r="C8" s="349" t="s">
        <v>3</v>
      </c>
      <c r="D8" s="350"/>
      <c r="E8" s="350"/>
      <c r="F8" s="350"/>
      <c r="G8" s="351"/>
      <c r="H8" s="349" t="s">
        <v>4</v>
      </c>
      <c r="I8" s="350"/>
      <c r="J8" s="350"/>
      <c r="K8" s="351"/>
    </row>
    <row r="9" spans="1:16" s="17" customFormat="1" ht="18" customHeight="1" x14ac:dyDescent="0.25">
      <c r="A9" s="337" t="s">
        <v>5</v>
      </c>
      <c r="B9" s="337" t="s">
        <v>6</v>
      </c>
      <c r="C9" s="337" t="s">
        <v>7</v>
      </c>
      <c r="D9" s="337" t="s">
        <v>8</v>
      </c>
      <c r="E9" s="337" t="s">
        <v>9</v>
      </c>
      <c r="F9" s="337" t="s">
        <v>10</v>
      </c>
      <c r="G9" s="337" t="s">
        <v>11</v>
      </c>
      <c r="H9" s="337" t="s">
        <v>12</v>
      </c>
      <c r="I9" s="337" t="s">
        <v>13</v>
      </c>
      <c r="J9" s="337" t="s">
        <v>14</v>
      </c>
      <c r="K9" s="337" t="s">
        <v>15</v>
      </c>
      <c r="L9" s="8" t="s">
        <v>16</v>
      </c>
      <c r="M9" s="166"/>
      <c r="N9" s="187"/>
      <c r="O9" s="142"/>
      <c r="P9" s="142"/>
    </row>
    <row r="10" spans="1:16" x14ac:dyDescent="0.25">
      <c r="A10" s="338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8" t="s">
        <v>17</v>
      </c>
      <c r="O10" s="151"/>
    </row>
    <row r="11" spans="1:16" s="17" customFormat="1" x14ac:dyDescent="0.25">
      <c r="A11" s="139" t="s">
        <v>18</v>
      </c>
      <c r="B11" s="14">
        <v>12913787.119999999</v>
      </c>
      <c r="C11" s="251">
        <f>7688799.09+465165.57</f>
        <v>8153964.6600000001</v>
      </c>
      <c r="D11" s="297">
        <v>2172.77</v>
      </c>
      <c r="E11" s="251">
        <v>7826060.4699999997</v>
      </c>
      <c r="F11" s="14">
        <f>+E11/C11</f>
        <v>0.95978591965101789</v>
      </c>
      <c r="G11" s="302">
        <f>+C11+D11-E11</f>
        <v>330076.95999999996</v>
      </c>
      <c r="H11" s="297">
        <f>49345.63+201068.33</f>
        <v>250413.96</v>
      </c>
      <c r="I11" s="251">
        <f>9652+90759</f>
        <v>100411</v>
      </c>
      <c r="J11" s="251">
        <f>4302+16446</f>
        <v>20748</v>
      </c>
      <c r="K11" s="251">
        <f>H11+I11-J11</f>
        <v>330076.95999999996</v>
      </c>
      <c r="L11" s="308">
        <f>+F11</f>
        <v>0.95978591965101789</v>
      </c>
      <c r="M11" s="62">
        <f t="shared" ref="M11:M24" si="0">+K11-G11</f>
        <v>0</v>
      </c>
      <c r="N11" s="278"/>
      <c r="O11" s="153"/>
      <c r="P11" s="142"/>
    </row>
    <row r="12" spans="1:16" x14ac:dyDescent="0.2">
      <c r="A12" s="139" t="s">
        <v>20</v>
      </c>
      <c r="B12" s="14">
        <v>32998147</v>
      </c>
      <c r="C12" s="297">
        <v>18998165.550000001</v>
      </c>
      <c r="D12" s="297">
        <v>5.95</v>
      </c>
      <c r="E12" s="251">
        <v>18588523.219999999</v>
      </c>
      <c r="F12" s="14">
        <f t="shared" ref="F12:F17" si="1">+E12/C12</f>
        <v>0.97843779553758015</v>
      </c>
      <c r="G12" s="302">
        <f>+C12+D12-E12</f>
        <v>409648.28000000119</v>
      </c>
      <c r="H12" s="297">
        <f>40000+311681.38</f>
        <v>351681.38</v>
      </c>
      <c r="I12" s="251">
        <f>197855+42750.9</f>
        <v>240605.9</v>
      </c>
      <c r="J12" s="251">
        <f>131268+51371</f>
        <v>182639</v>
      </c>
      <c r="K12" s="251">
        <f t="shared" ref="K12:K21" si="2">H12+I12-J12</f>
        <v>409648.28</v>
      </c>
      <c r="L12" s="265">
        <f t="shared" ref="L12:L23" si="3">+F12</f>
        <v>0.97843779553758015</v>
      </c>
      <c r="M12" s="62">
        <f t="shared" si="0"/>
        <v>-1.1641532182693481E-9</v>
      </c>
      <c r="N12" s="279"/>
      <c r="O12" s="151"/>
    </row>
    <row r="13" spans="1:16" x14ac:dyDescent="0.2">
      <c r="A13" s="139" t="s">
        <v>21</v>
      </c>
      <c r="B13" s="14">
        <v>260781</v>
      </c>
      <c r="C13" s="297">
        <v>223069.51</v>
      </c>
      <c r="D13" s="297">
        <v>0</v>
      </c>
      <c r="E13" s="297">
        <v>172144</v>
      </c>
      <c r="F13" s="14">
        <f t="shared" si="1"/>
        <v>0.7717056445768854</v>
      </c>
      <c r="G13" s="302">
        <f t="shared" ref="G13:G24" si="4">+C13+D13-E13</f>
        <v>50925.510000000009</v>
      </c>
      <c r="H13" s="297">
        <v>50925.51</v>
      </c>
      <c r="I13" s="251">
        <v>0</v>
      </c>
      <c r="J13" s="251">
        <v>0</v>
      </c>
      <c r="K13" s="251">
        <f t="shared" si="2"/>
        <v>50925.51</v>
      </c>
      <c r="L13" s="265">
        <f t="shared" si="3"/>
        <v>0.7717056445768854</v>
      </c>
      <c r="M13" s="62">
        <f t="shared" si="0"/>
        <v>0</v>
      </c>
      <c r="N13" s="280"/>
    </row>
    <row r="14" spans="1:16" x14ac:dyDescent="0.2">
      <c r="A14" s="139" t="s">
        <v>22</v>
      </c>
      <c r="B14" s="14">
        <v>710600</v>
      </c>
      <c r="C14" s="297">
        <v>718413.74</v>
      </c>
      <c r="D14" s="297">
        <v>0.03</v>
      </c>
      <c r="E14" s="297">
        <v>344520</v>
      </c>
      <c r="F14" s="14">
        <f t="shared" si="1"/>
        <v>0.47955652963987022</v>
      </c>
      <c r="G14" s="302">
        <f t="shared" si="4"/>
        <v>373893.77</v>
      </c>
      <c r="H14" s="297">
        <v>373893.77</v>
      </c>
      <c r="I14" s="251">
        <v>0</v>
      </c>
      <c r="J14" s="251">
        <v>0</v>
      </c>
      <c r="K14" s="251">
        <f t="shared" si="2"/>
        <v>373893.77</v>
      </c>
      <c r="L14" s="265">
        <f t="shared" si="3"/>
        <v>0.47955652963987022</v>
      </c>
      <c r="M14" s="62">
        <f t="shared" si="0"/>
        <v>0</v>
      </c>
      <c r="N14" s="280"/>
    </row>
    <row r="15" spans="1:16" x14ac:dyDescent="0.2">
      <c r="A15" s="139" t="s">
        <v>23</v>
      </c>
      <c r="B15" s="14">
        <v>1328025</v>
      </c>
      <c r="C15" s="297">
        <v>868195.58</v>
      </c>
      <c r="D15" s="297">
        <v>0</v>
      </c>
      <c r="E15" s="297">
        <v>813310.32</v>
      </c>
      <c r="F15" s="14">
        <f t="shared" si="1"/>
        <v>0.93678237799828468</v>
      </c>
      <c r="G15" s="302">
        <f t="shared" si="4"/>
        <v>54885.260000000009</v>
      </c>
      <c r="H15" s="297">
        <v>54885.26</v>
      </c>
      <c r="I15" s="251">
        <v>0</v>
      </c>
      <c r="J15" s="251">
        <v>0</v>
      </c>
      <c r="K15" s="251">
        <f t="shared" si="2"/>
        <v>54885.26</v>
      </c>
      <c r="L15" s="265">
        <f t="shared" si="3"/>
        <v>0.93678237799828468</v>
      </c>
      <c r="M15" s="62">
        <f t="shared" si="0"/>
        <v>0</v>
      </c>
      <c r="N15" s="281"/>
    </row>
    <row r="16" spans="1:16" x14ac:dyDescent="0.2">
      <c r="A16" s="139" t="s">
        <v>24</v>
      </c>
      <c r="B16" s="14">
        <v>15442286</v>
      </c>
      <c r="C16" s="297">
        <v>10457849.99</v>
      </c>
      <c r="D16" s="297">
        <v>0.06</v>
      </c>
      <c r="E16" s="251">
        <v>9558582.7300000004</v>
      </c>
      <c r="F16" s="14">
        <f t="shared" si="1"/>
        <v>0.91401031178876191</v>
      </c>
      <c r="G16" s="302">
        <f>+C16+D16-E16</f>
        <v>899267.3200000003</v>
      </c>
      <c r="H16" s="297">
        <v>1141821.32</v>
      </c>
      <c r="I16" s="251">
        <v>0</v>
      </c>
      <c r="J16" s="251">
        <f>62117+180437</f>
        <v>242554</v>
      </c>
      <c r="K16" s="251">
        <f t="shared" si="2"/>
        <v>899267.32000000007</v>
      </c>
      <c r="L16" s="265">
        <f t="shared" si="3"/>
        <v>0.91401031178876191</v>
      </c>
      <c r="M16" s="62">
        <f t="shared" si="0"/>
        <v>0</v>
      </c>
      <c r="N16" s="281"/>
      <c r="O16" s="151"/>
    </row>
    <row r="17" spans="1:18" x14ac:dyDescent="0.2">
      <c r="A17" s="139" t="s">
        <v>25</v>
      </c>
      <c r="B17" s="14">
        <v>977776</v>
      </c>
      <c r="C17" s="297">
        <v>749100.44</v>
      </c>
      <c r="D17" s="297">
        <v>0.03</v>
      </c>
      <c r="E17" s="251">
        <v>647721.93000000005</v>
      </c>
      <c r="F17" s="14">
        <f t="shared" si="1"/>
        <v>0.8646663323278786</v>
      </c>
      <c r="G17" s="302">
        <f t="shared" si="4"/>
        <v>101378.53999999992</v>
      </c>
      <c r="H17" s="297">
        <v>101378.54</v>
      </c>
      <c r="I17" s="251">
        <v>0</v>
      </c>
      <c r="J17" s="251">
        <v>0</v>
      </c>
      <c r="K17" s="251">
        <f t="shared" si="2"/>
        <v>101378.54</v>
      </c>
      <c r="L17" s="265">
        <f t="shared" si="3"/>
        <v>0.8646663323278786</v>
      </c>
      <c r="M17" s="107">
        <f>+K17-G17</f>
        <v>0</v>
      </c>
      <c r="N17" s="281"/>
    </row>
    <row r="18" spans="1:18" x14ac:dyDescent="0.2">
      <c r="A18" s="139" t="s">
        <v>53</v>
      </c>
      <c r="B18" s="14">
        <v>887363.87</v>
      </c>
      <c r="C18" s="297">
        <v>46.93</v>
      </c>
      <c r="D18" s="297">
        <v>0</v>
      </c>
      <c r="E18" s="297">
        <v>0</v>
      </c>
      <c r="F18" s="14">
        <v>0</v>
      </c>
      <c r="G18" s="302">
        <f t="shared" si="4"/>
        <v>46.93</v>
      </c>
      <c r="H18" s="297">
        <v>5046.93</v>
      </c>
      <c r="I18" s="251">
        <v>0</v>
      </c>
      <c r="J18" s="251">
        <v>5000</v>
      </c>
      <c r="K18" s="251">
        <f t="shared" si="2"/>
        <v>46.930000000000291</v>
      </c>
      <c r="L18" s="265">
        <f t="shared" si="3"/>
        <v>0</v>
      </c>
      <c r="M18" s="107">
        <f t="shared" si="0"/>
        <v>2.9132252166164108E-13</v>
      </c>
      <c r="N18" s="281"/>
    </row>
    <row r="19" spans="1:18" x14ac:dyDescent="0.2">
      <c r="A19" s="139" t="s">
        <v>27</v>
      </c>
      <c r="B19" s="14">
        <f>+C19</f>
        <v>0</v>
      </c>
      <c r="C19" s="297">
        <v>0</v>
      </c>
      <c r="D19" s="297">
        <v>0</v>
      </c>
      <c r="E19" s="297">
        <v>0</v>
      </c>
      <c r="F19" s="14">
        <v>0</v>
      </c>
      <c r="G19" s="302">
        <f t="shared" si="4"/>
        <v>0</v>
      </c>
      <c r="H19" s="297">
        <v>0</v>
      </c>
      <c r="I19" s="251">
        <v>0</v>
      </c>
      <c r="J19" s="251">
        <v>0</v>
      </c>
      <c r="K19" s="251">
        <f t="shared" si="2"/>
        <v>0</v>
      </c>
      <c r="L19" s="265">
        <f t="shared" si="3"/>
        <v>0</v>
      </c>
      <c r="M19" s="107">
        <f t="shared" si="0"/>
        <v>0</v>
      </c>
      <c r="N19" s="282"/>
    </row>
    <row r="20" spans="1:18" x14ac:dyDescent="0.2">
      <c r="A20" s="139" t="s">
        <v>28</v>
      </c>
      <c r="B20" s="14">
        <v>53962</v>
      </c>
      <c r="C20" s="297">
        <v>35978.93</v>
      </c>
      <c r="D20" s="297">
        <v>0</v>
      </c>
      <c r="E20" s="297">
        <v>21750</v>
      </c>
      <c r="F20" s="14">
        <v>0</v>
      </c>
      <c r="G20" s="302">
        <f t="shared" si="4"/>
        <v>14228.93</v>
      </c>
      <c r="H20" s="297">
        <v>14228.93</v>
      </c>
      <c r="I20" s="251">
        <v>0</v>
      </c>
      <c r="J20" s="251">
        <v>0</v>
      </c>
      <c r="K20" s="251">
        <f t="shared" si="2"/>
        <v>14228.93</v>
      </c>
      <c r="L20" s="265">
        <f t="shared" si="3"/>
        <v>0</v>
      </c>
      <c r="M20" s="107">
        <f t="shared" si="0"/>
        <v>0</v>
      </c>
      <c r="N20" s="270"/>
    </row>
    <row r="21" spans="1:18" ht="27" x14ac:dyDescent="0.2">
      <c r="A21" s="139" t="s">
        <v>136</v>
      </c>
      <c r="B21" s="14">
        <v>4516388.1399999997</v>
      </c>
      <c r="C21" s="297">
        <v>4229301</v>
      </c>
      <c r="D21" s="297">
        <v>0.01</v>
      </c>
      <c r="E21" s="297">
        <v>4489288.1399999997</v>
      </c>
      <c r="F21" s="14">
        <v>0</v>
      </c>
      <c r="G21" s="302">
        <f t="shared" si="4"/>
        <v>-259987.12999999989</v>
      </c>
      <c r="H21" s="297">
        <v>12.87</v>
      </c>
      <c r="I21" s="251">
        <v>0</v>
      </c>
      <c r="J21" s="251">
        <v>260000</v>
      </c>
      <c r="K21" s="251">
        <f t="shared" si="2"/>
        <v>-259987.13</v>
      </c>
      <c r="L21" s="308">
        <f t="shared" si="3"/>
        <v>0</v>
      </c>
      <c r="M21" s="107">
        <f t="shared" si="0"/>
        <v>0</v>
      </c>
      <c r="N21" s="270"/>
    </row>
    <row r="22" spans="1:18" x14ac:dyDescent="0.2">
      <c r="A22" s="139" t="s">
        <v>29</v>
      </c>
      <c r="B22" s="14">
        <v>32555069</v>
      </c>
      <c r="C22" s="297">
        <v>26044062.699999999</v>
      </c>
      <c r="D22" s="297">
        <v>240334</v>
      </c>
      <c r="E22" s="297">
        <v>0</v>
      </c>
      <c r="F22" s="14">
        <f>+E22/C22</f>
        <v>0</v>
      </c>
      <c r="G22" s="302">
        <f t="shared" si="4"/>
        <v>26284396.699999999</v>
      </c>
      <c r="H22" s="297">
        <f>3256299.9+21834216.61</f>
        <v>25090516.509999998</v>
      </c>
      <c r="I22" s="251">
        <v>1193880.19</v>
      </c>
      <c r="J22" s="251">
        <v>0</v>
      </c>
      <c r="K22" s="251">
        <f>H22+I22-J22</f>
        <v>26284396.699999999</v>
      </c>
      <c r="L22" s="265">
        <f t="shared" si="3"/>
        <v>0</v>
      </c>
      <c r="M22" s="107">
        <f t="shared" si="0"/>
        <v>0</v>
      </c>
      <c r="N22" s="270"/>
    </row>
    <row r="23" spans="1:18" x14ac:dyDescent="0.2">
      <c r="A23" s="139" t="s">
        <v>30</v>
      </c>
      <c r="B23" s="14">
        <v>26159027</v>
      </c>
      <c r="C23" s="297">
        <v>17439369.300000001</v>
      </c>
      <c r="D23" s="297">
        <v>0</v>
      </c>
      <c r="E23" s="251">
        <v>15455179.75</v>
      </c>
      <c r="F23" s="14">
        <f>+E23/C23</f>
        <v>0.88622354880689402</v>
      </c>
      <c r="G23" s="302">
        <f t="shared" si="4"/>
        <v>1984189.5500000007</v>
      </c>
      <c r="H23" s="297">
        <v>2356632.35</v>
      </c>
      <c r="I23" s="251">
        <v>266876</v>
      </c>
      <c r="J23" s="251">
        <f>20209+619109.8</f>
        <v>639318.80000000005</v>
      </c>
      <c r="K23" s="251">
        <f>H23+I23-J23</f>
        <v>1984189.55</v>
      </c>
      <c r="L23" s="308">
        <f t="shared" si="3"/>
        <v>0.88622354880689402</v>
      </c>
      <c r="M23" s="107">
        <f t="shared" si="0"/>
        <v>0</v>
      </c>
      <c r="N23" s="314"/>
      <c r="Q23" s="141"/>
      <c r="R23" s="144"/>
    </row>
    <row r="24" spans="1:18" ht="40.5" x14ac:dyDescent="0.2">
      <c r="A24" s="139" t="s">
        <v>135</v>
      </c>
      <c r="B24" s="11">
        <v>179760</v>
      </c>
      <c r="C24" s="297">
        <v>179760</v>
      </c>
      <c r="D24" s="297">
        <v>127.5</v>
      </c>
      <c r="E24" s="251">
        <v>0</v>
      </c>
      <c r="F24" s="14">
        <f>+E24/C24</f>
        <v>0</v>
      </c>
      <c r="G24" s="302">
        <f t="shared" si="4"/>
        <v>179887.5</v>
      </c>
      <c r="H24" s="297">
        <v>184539.5</v>
      </c>
      <c r="I24" s="251">
        <v>0</v>
      </c>
      <c r="J24" s="251">
        <v>4652</v>
      </c>
      <c r="K24" s="251">
        <f>H24+I24-J24</f>
        <v>179887.5</v>
      </c>
      <c r="L24" s="308">
        <f>+F24</f>
        <v>0</v>
      </c>
      <c r="M24" s="107">
        <f t="shared" si="0"/>
        <v>0</v>
      </c>
      <c r="N24" s="284"/>
      <c r="Q24" s="141"/>
      <c r="R24" s="144"/>
    </row>
    <row r="25" spans="1:18" s="5" customFormat="1" x14ac:dyDescent="0.2">
      <c r="A25" s="248" t="s">
        <v>144</v>
      </c>
      <c r="B25" s="21">
        <f>SUM(B11:B24)</f>
        <v>128982972.13</v>
      </c>
      <c r="C25" s="21">
        <f t="shared" ref="C25:K25" si="5">SUM(C11:C24)</f>
        <v>88097278.329999998</v>
      </c>
      <c r="D25" s="21">
        <f t="shared" si="5"/>
        <v>242640.35</v>
      </c>
      <c r="E25" s="21">
        <f t="shared" si="5"/>
        <v>57917080.559999995</v>
      </c>
      <c r="F25" s="21">
        <f t="shared" si="5"/>
        <v>6.7911684603271736</v>
      </c>
      <c r="G25" s="21">
        <f t="shared" si="5"/>
        <v>30422838.120000001</v>
      </c>
      <c r="H25" s="21">
        <f t="shared" si="5"/>
        <v>29975976.829999998</v>
      </c>
      <c r="I25" s="21">
        <f t="shared" si="5"/>
        <v>1801773.0899999999</v>
      </c>
      <c r="J25" s="21">
        <f t="shared" si="5"/>
        <v>1354911.8</v>
      </c>
      <c r="K25" s="21">
        <f t="shared" si="5"/>
        <v>30422838.120000001</v>
      </c>
      <c r="L25" s="252"/>
      <c r="M25" s="118">
        <f>SUM(M11:M23)</f>
        <v>-1.1638618957476865E-9</v>
      </c>
      <c r="N25" s="203"/>
      <c r="O25" s="143"/>
      <c r="P25" s="143"/>
    </row>
    <row r="26" spans="1:18" s="17" customFormat="1" x14ac:dyDescent="0.25">
      <c r="A26" s="139" t="s">
        <v>18</v>
      </c>
      <c r="B26" s="14">
        <f>10999097.88+238908.65</f>
        <v>11238006.530000001</v>
      </c>
      <c r="C26" s="14">
        <f>10999097.88+238908.65</f>
        <v>11238006.530000001</v>
      </c>
      <c r="D26" s="11">
        <v>0</v>
      </c>
      <c r="E26" s="310">
        <f>11056143.38+30827.66</f>
        <v>11086971.040000001</v>
      </c>
      <c r="F26" s="14">
        <f>+E26/C26</f>
        <v>0.98656029522702193</v>
      </c>
      <c r="G26" s="251">
        <f>+C26+D26-E26</f>
        <v>151035.49000000022</v>
      </c>
      <c r="H26" s="261">
        <v>337978.6</v>
      </c>
      <c r="I26" s="201">
        <f>127254.42+0</f>
        <v>127254.42</v>
      </c>
      <c r="J26" s="201">
        <f>-553+314750.53</f>
        <v>314197.53000000003</v>
      </c>
      <c r="K26" s="201">
        <f>H26+I26-J26</f>
        <v>151035.48999999993</v>
      </c>
      <c r="L26" s="265">
        <f>+F26</f>
        <v>0.98656029522702193</v>
      </c>
      <c r="M26" s="312">
        <f t="shared" ref="M26:M41" si="6">+K26-G26</f>
        <v>-2.9103830456733704E-10</v>
      </c>
      <c r="N26" s="278"/>
      <c r="O26" s="153"/>
      <c r="P26" s="142"/>
    </row>
    <row r="27" spans="1:18" x14ac:dyDescent="0.2">
      <c r="A27" s="139" t="s">
        <v>20</v>
      </c>
      <c r="B27" s="11">
        <v>32201284.170000002</v>
      </c>
      <c r="C27" s="11">
        <v>32201284.170000002</v>
      </c>
      <c r="D27" s="11">
        <v>0</v>
      </c>
      <c r="E27" s="310">
        <f>32201284.17+1128.9</f>
        <v>32202413.07</v>
      </c>
      <c r="F27" s="14">
        <f t="shared" ref="F27:F32" si="7">+E27/C27</f>
        <v>1.0000350576080768</v>
      </c>
      <c r="G27" s="251">
        <f t="shared" ref="G27:G41" si="8">+C27+D27-E27</f>
        <v>-1128.8999999985099</v>
      </c>
      <c r="H27" s="261">
        <v>221459.1</v>
      </c>
      <c r="I27" s="201">
        <f>529-800</f>
        <v>-271</v>
      </c>
      <c r="J27" s="201">
        <f>-65336+62764+224889</f>
        <v>222317</v>
      </c>
      <c r="K27" s="201">
        <f t="shared" ref="K27:K36" si="9">H27+I27-J27</f>
        <v>-1128.8999999999942</v>
      </c>
      <c r="L27" s="265">
        <f t="shared" ref="L27:L38" si="10">+F27</f>
        <v>1.0000350576080768</v>
      </c>
      <c r="M27" s="312">
        <f t="shared" si="6"/>
        <v>-1.4842953532934189E-9</v>
      </c>
      <c r="N27" s="279"/>
      <c r="O27" s="151"/>
    </row>
    <row r="28" spans="1:18" x14ac:dyDescent="0.2">
      <c r="A28" s="139" t="s">
        <v>21</v>
      </c>
      <c r="B28" s="11">
        <v>375916.69</v>
      </c>
      <c r="C28" s="11">
        <v>375916.69</v>
      </c>
      <c r="D28" s="11">
        <v>0</v>
      </c>
      <c r="E28" s="297">
        <v>364122.38</v>
      </c>
      <c r="F28" s="14">
        <f t="shared" si="7"/>
        <v>0.9686252025681541</v>
      </c>
      <c r="G28" s="251">
        <f t="shared" si="8"/>
        <v>11794.309999999998</v>
      </c>
      <c r="H28" s="11">
        <v>11794.31</v>
      </c>
      <c r="I28" s="14">
        <v>0</v>
      </c>
      <c r="J28" s="14">
        <v>0</v>
      </c>
      <c r="K28" s="14">
        <f t="shared" si="9"/>
        <v>11794.31</v>
      </c>
      <c r="L28" s="15">
        <f t="shared" si="10"/>
        <v>0.9686252025681541</v>
      </c>
      <c r="M28" s="236">
        <f t="shared" si="6"/>
        <v>0</v>
      </c>
      <c r="N28" s="280"/>
    </row>
    <row r="29" spans="1:18" x14ac:dyDescent="0.2">
      <c r="A29" s="139" t="s">
        <v>22</v>
      </c>
      <c r="B29" s="11">
        <v>553292.86</v>
      </c>
      <c r="C29" s="11">
        <v>553292.86</v>
      </c>
      <c r="D29" s="11">
        <v>0</v>
      </c>
      <c r="E29" s="297">
        <v>549193.92000000004</v>
      </c>
      <c r="F29" s="14">
        <f t="shared" si="7"/>
        <v>0.99259173523403155</v>
      </c>
      <c r="G29" s="251">
        <f t="shared" si="8"/>
        <v>4098.9399999999441</v>
      </c>
      <c r="H29" s="11">
        <v>4098.9399999999996</v>
      </c>
      <c r="I29" s="14">
        <v>0</v>
      </c>
      <c r="J29" s="14">
        <v>0</v>
      </c>
      <c r="K29" s="14">
        <f t="shared" si="9"/>
        <v>4098.9399999999996</v>
      </c>
      <c r="L29" s="15">
        <f t="shared" si="10"/>
        <v>0.99259173523403155</v>
      </c>
      <c r="M29" s="236">
        <f t="shared" si="6"/>
        <v>5.5479176808148623E-11</v>
      </c>
      <c r="N29" s="280"/>
    </row>
    <row r="30" spans="1:18" x14ac:dyDescent="0.2">
      <c r="A30" s="139" t="s">
        <v>23</v>
      </c>
      <c r="B30" s="11">
        <v>1287364.3999999999</v>
      </c>
      <c r="C30" s="11">
        <v>1287364.3999999999</v>
      </c>
      <c r="D30" s="11">
        <v>0.37</v>
      </c>
      <c r="E30" s="311">
        <f>1286941.03</f>
        <v>1286941.03</v>
      </c>
      <c r="F30" s="14">
        <f t="shared" si="7"/>
        <v>0.99967113429577525</v>
      </c>
      <c r="G30" s="251">
        <f t="shared" si="8"/>
        <v>423.73999999999069</v>
      </c>
      <c r="H30" s="261">
        <v>423.74</v>
      </c>
      <c r="I30" s="201">
        <v>0</v>
      </c>
      <c r="J30" s="201">
        <v>0</v>
      </c>
      <c r="K30" s="201">
        <f t="shared" si="9"/>
        <v>423.74</v>
      </c>
      <c r="L30" s="265">
        <f t="shared" si="10"/>
        <v>0.99967113429577525</v>
      </c>
      <c r="M30" s="312">
        <f t="shared" si="6"/>
        <v>9.3223206931725144E-12</v>
      </c>
      <c r="N30" s="281"/>
    </row>
    <row r="31" spans="1:18" x14ac:dyDescent="0.2">
      <c r="A31" s="139" t="s">
        <v>24</v>
      </c>
      <c r="B31" s="11">
        <v>15340178.58</v>
      </c>
      <c r="C31" s="11">
        <v>15340178.58</v>
      </c>
      <c r="D31" s="11">
        <v>0</v>
      </c>
      <c r="E31" s="310">
        <f>15320249.52+14870.06</f>
        <v>15335119.58</v>
      </c>
      <c r="F31" s="14">
        <f t="shared" si="7"/>
        <v>0.9996702124441631</v>
      </c>
      <c r="G31" s="251">
        <f t="shared" si="8"/>
        <v>5059</v>
      </c>
      <c r="H31" s="261">
        <v>13579</v>
      </c>
      <c r="I31" s="201">
        <v>0</v>
      </c>
      <c r="J31" s="201">
        <f>-8668+2000+15188</f>
        <v>8520</v>
      </c>
      <c r="K31" s="201">
        <f t="shared" si="9"/>
        <v>5059</v>
      </c>
      <c r="L31" s="265">
        <f t="shared" si="10"/>
        <v>0.9996702124441631</v>
      </c>
      <c r="M31" s="312">
        <f t="shared" si="6"/>
        <v>0</v>
      </c>
      <c r="N31" s="281"/>
      <c r="O31" s="151"/>
    </row>
    <row r="32" spans="1:18" x14ac:dyDescent="0.2">
      <c r="A32" s="139" t="s">
        <v>25</v>
      </c>
      <c r="B32" s="11">
        <v>1461552.81</v>
      </c>
      <c r="C32" s="11">
        <v>1461552.81</v>
      </c>
      <c r="D32" s="11">
        <v>0</v>
      </c>
      <c r="E32" s="310">
        <f>1315379.46-0.68</f>
        <v>1315378.78</v>
      </c>
      <c r="F32" s="14">
        <f t="shared" si="7"/>
        <v>0.89998717186278065</v>
      </c>
      <c r="G32" s="251">
        <f t="shared" si="8"/>
        <v>146174.03000000003</v>
      </c>
      <c r="H32" s="261">
        <v>146174.03</v>
      </c>
      <c r="I32" s="14">
        <v>0</v>
      </c>
      <c r="J32" s="14">
        <v>0</v>
      </c>
      <c r="K32" s="14">
        <f t="shared" si="9"/>
        <v>146174.03</v>
      </c>
      <c r="L32" s="15">
        <f t="shared" si="10"/>
        <v>0.89998717186278065</v>
      </c>
      <c r="M32" s="62">
        <f t="shared" si="6"/>
        <v>0</v>
      </c>
      <c r="N32" s="281"/>
    </row>
    <row r="33" spans="1:18" x14ac:dyDescent="0.2">
      <c r="A33" s="139" t="s">
        <v>53</v>
      </c>
      <c r="B33" s="11">
        <v>888239.11</v>
      </c>
      <c r="C33" s="11">
        <v>888239.11</v>
      </c>
      <c r="D33" s="11">
        <v>0</v>
      </c>
      <c r="E33" s="311">
        <f>651043.92+232052.2</f>
        <v>883096.12000000011</v>
      </c>
      <c r="F33" s="14">
        <v>0</v>
      </c>
      <c r="G33" s="251">
        <f t="shared" si="8"/>
        <v>5142.9899999998743</v>
      </c>
      <c r="H33" s="261">
        <v>5142.99</v>
      </c>
      <c r="I33" s="14">
        <v>0</v>
      </c>
      <c r="J33" s="14">
        <v>0</v>
      </c>
      <c r="K33" s="14">
        <f t="shared" si="9"/>
        <v>5142.99</v>
      </c>
      <c r="L33" s="15">
        <f t="shared" si="10"/>
        <v>0</v>
      </c>
      <c r="M33" s="236">
        <f t="shared" si="6"/>
        <v>1.255102688446641E-10</v>
      </c>
      <c r="N33" s="281"/>
    </row>
    <row r="34" spans="1:18" x14ac:dyDescent="0.2">
      <c r="A34" s="139" t="s">
        <v>27</v>
      </c>
      <c r="B34" s="11">
        <v>0</v>
      </c>
      <c r="C34" s="11">
        <v>0</v>
      </c>
      <c r="D34" s="11">
        <v>0</v>
      </c>
      <c r="E34" s="297">
        <v>0</v>
      </c>
      <c r="F34" s="14">
        <v>0</v>
      </c>
      <c r="G34" s="251">
        <f t="shared" si="8"/>
        <v>0</v>
      </c>
      <c r="H34" s="11">
        <v>0</v>
      </c>
      <c r="I34" s="14">
        <v>0</v>
      </c>
      <c r="J34" s="14">
        <v>0</v>
      </c>
      <c r="K34" s="14">
        <f t="shared" si="9"/>
        <v>0</v>
      </c>
      <c r="L34" s="15">
        <f t="shared" si="10"/>
        <v>0</v>
      </c>
      <c r="M34" s="236">
        <f t="shared" si="6"/>
        <v>0</v>
      </c>
      <c r="N34" s="281"/>
    </row>
    <row r="35" spans="1:18" x14ac:dyDescent="0.2">
      <c r="A35" s="139" t="s">
        <v>28</v>
      </c>
      <c r="B35" s="11">
        <v>60034.41</v>
      </c>
      <c r="C35" s="11">
        <v>60034.41</v>
      </c>
      <c r="D35" s="11">
        <v>0</v>
      </c>
      <c r="E35" s="311">
        <f>36692.13-0.01</f>
        <v>36692.119999999995</v>
      </c>
      <c r="F35" s="14">
        <v>0</v>
      </c>
      <c r="G35" s="251">
        <f t="shared" si="8"/>
        <v>23342.290000000008</v>
      </c>
      <c r="H35" s="261">
        <v>23342.29</v>
      </c>
      <c r="I35" s="14">
        <v>0</v>
      </c>
      <c r="J35" s="14">
        <v>0</v>
      </c>
      <c r="K35" s="14">
        <f t="shared" si="9"/>
        <v>23342.29</v>
      </c>
      <c r="L35" s="15">
        <f t="shared" si="10"/>
        <v>0</v>
      </c>
      <c r="M35" s="62">
        <f t="shared" si="6"/>
        <v>0</v>
      </c>
      <c r="N35" s="270"/>
    </row>
    <row r="36" spans="1:18" ht="27" x14ac:dyDescent="0.2">
      <c r="A36" s="139" t="s">
        <v>136</v>
      </c>
      <c r="B36" s="11">
        <v>2201262.25</v>
      </c>
      <c r="C36" s="11">
        <v>2201262.25</v>
      </c>
      <c r="D36" s="11">
        <v>818.27</v>
      </c>
      <c r="E36" s="313">
        <f>2193712.51+2795.53</f>
        <v>2196508.0399999996</v>
      </c>
      <c r="F36" s="14"/>
      <c r="G36" s="251">
        <f t="shared" si="8"/>
        <v>5572.480000000447</v>
      </c>
      <c r="H36" s="261">
        <v>5572.48</v>
      </c>
      <c r="I36" s="201">
        <v>0</v>
      </c>
      <c r="J36" s="201">
        <v>0</v>
      </c>
      <c r="K36" s="201">
        <f t="shared" si="9"/>
        <v>5572.48</v>
      </c>
      <c r="L36" s="265">
        <f t="shared" si="10"/>
        <v>0</v>
      </c>
      <c r="M36" s="312">
        <f t="shared" si="6"/>
        <v>-4.4747139327228069E-10</v>
      </c>
      <c r="N36" s="270"/>
    </row>
    <row r="37" spans="1:18" x14ac:dyDescent="0.2">
      <c r="A37" s="139" t="s">
        <v>29</v>
      </c>
      <c r="B37" s="11">
        <v>29358891.780000001</v>
      </c>
      <c r="C37" s="11">
        <v>29358891.780000001</v>
      </c>
      <c r="D37" s="11">
        <v>644200.78</v>
      </c>
      <c r="E37" s="297">
        <v>29358059.32</v>
      </c>
      <c r="F37" s="14">
        <f>+E37/C37</f>
        <v>0.99997164538749495</v>
      </c>
      <c r="G37" s="251">
        <f t="shared" si="8"/>
        <v>645033.24000000209</v>
      </c>
      <c r="H37" s="11">
        <f>27044389.8+0</f>
        <v>27044389.800000001</v>
      </c>
      <c r="I37" s="14">
        <v>2958702.76</v>
      </c>
      <c r="J37" s="14">
        <v>29358059.32</v>
      </c>
      <c r="K37" s="14">
        <f>H37+I37-J37</f>
        <v>645033.24000000209</v>
      </c>
      <c r="L37" s="15">
        <f t="shared" si="10"/>
        <v>0.99997164538749495</v>
      </c>
      <c r="M37" s="236">
        <f t="shared" si="6"/>
        <v>0</v>
      </c>
      <c r="N37" s="270"/>
    </row>
    <row r="38" spans="1:18" x14ac:dyDescent="0.2">
      <c r="A38" s="139" t="s">
        <v>30</v>
      </c>
      <c r="B38" s="11">
        <v>23067538.390000001</v>
      </c>
      <c r="C38" s="11">
        <v>23067538.390000001</v>
      </c>
      <c r="D38" s="11">
        <v>0</v>
      </c>
      <c r="E38" s="309">
        <f>23067538.39-13441.17</f>
        <v>23054097.219999999</v>
      </c>
      <c r="F38" s="14">
        <f>+E38/C38</f>
        <v>0.99941731233854458</v>
      </c>
      <c r="G38" s="251">
        <f t="shared" si="8"/>
        <v>13441.170000001788</v>
      </c>
      <c r="H38" s="261">
        <v>98762.19</v>
      </c>
      <c r="I38" s="201">
        <f>713.4+45970</f>
        <v>46683.4</v>
      </c>
      <c r="J38" s="201">
        <f>-250+132254.42</f>
        <v>132004.42000000001</v>
      </c>
      <c r="K38" s="201">
        <f>H38+I38-J38</f>
        <v>13441.169999999984</v>
      </c>
      <c r="L38" s="265">
        <f t="shared" si="10"/>
        <v>0.99941731233854458</v>
      </c>
      <c r="M38" s="312">
        <f t="shared" si="6"/>
        <v>-1.8044374883174896E-9</v>
      </c>
      <c r="N38" s="284" t="s">
        <v>52</v>
      </c>
      <c r="Q38" s="141"/>
      <c r="R38" s="144"/>
    </row>
    <row r="39" spans="1:18" x14ac:dyDescent="0.2">
      <c r="A39" s="139" t="s">
        <v>57</v>
      </c>
      <c r="B39" s="11">
        <v>1483495.05</v>
      </c>
      <c r="C39" s="11">
        <v>1483495.05</v>
      </c>
      <c r="D39" s="11">
        <v>4256.42</v>
      </c>
      <c r="E39" s="251">
        <v>1461506.21</v>
      </c>
      <c r="F39" s="14">
        <f>+E39/C39</f>
        <v>0.98517767888743535</v>
      </c>
      <c r="G39" s="251">
        <f t="shared" si="8"/>
        <v>26245.260000000009</v>
      </c>
      <c r="H39" s="11">
        <v>26245.26</v>
      </c>
      <c r="I39" s="14">
        <v>0</v>
      </c>
      <c r="J39" s="14">
        <v>0</v>
      </c>
      <c r="K39" s="14">
        <f>H39+I39-J39</f>
        <v>26245.26</v>
      </c>
      <c r="L39" s="15">
        <f>+F39</f>
        <v>0.98517767888743535</v>
      </c>
      <c r="M39" s="107">
        <f t="shared" si="6"/>
        <v>0</v>
      </c>
      <c r="N39" s="284"/>
      <c r="Q39" s="141"/>
      <c r="R39" s="144"/>
    </row>
    <row r="40" spans="1:18" x14ac:dyDescent="0.2">
      <c r="A40" s="139" t="s">
        <v>139</v>
      </c>
      <c r="B40" s="14">
        <v>1364024.1</v>
      </c>
      <c r="C40" s="14">
        <v>1364024.1</v>
      </c>
      <c r="D40" s="11">
        <f>940.83+935.1+658.75</f>
        <v>2534.6800000000003</v>
      </c>
      <c r="E40" s="251">
        <v>1364018.1</v>
      </c>
      <c r="F40" s="14">
        <f>+E40/C40</f>
        <v>0.99999560125074038</v>
      </c>
      <c r="G40" s="251">
        <f t="shared" si="8"/>
        <v>2540.6799999999348</v>
      </c>
      <c r="H40" s="11">
        <v>957353.35</v>
      </c>
      <c r="I40" s="14">
        <v>409205.43</v>
      </c>
      <c r="J40" s="14">
        <v>1364018.1</v>
      </c>
      <c r="K40" s="14">
        <f>H40+I40-J40</f>
        <v>2540.6799999999348</v>
      </c>
      <c r="L40" s="15">
        <f>+F40</f>
        <v>0.99999560125074038</v>
      </c>
      <c r="M40" s="107">
        <f t="shared" si="6"/>
        <v>0</v>
      </c>
      <c r="N40" s="284"/>
      <c r="Q40" s="141"/>
      <c r="R40" s="144"/>
    </row>
    <row r="41" spans="1:18" ht="40.5" x14ac:dyDescent="0.2">
      <c r="A41" s="139" t="s">
        <v>135</v>
      </c>
      <c r="B41" s="11">
        <v>199999.99</v>
      </c>
      <c r="C41" s="11">
        <v>199999.99</v>
      </c>
      <c r="D41" s="11">
        <f>113.52+264.05+123.8+26.23</f>
        <v>527.6</v>
      </c>
      <c r="E41" s="251">
        <v>199730.99</v>
      </c>
      <c r="F41" s="14">
        <f>+E41/C41</f>
        <v>0.99865499993274998</v>
      </c>
      <c r="G41" s="251">
        <f t="shared" si="8"/>
        <v>796.60000000000582</v>
      </c>
      <c r="H41" s="11">
        <v>683.08</v>
      </c>
      <c r="I41" s="14">
        <f>180000+5000</f>
        <v>185000</v>
      </c>
      <c r="J41" s="14">
        <f>102106.79+5000+77779.69</f>
        <v>184886.47999999998</v>
      </c>
      <c r="K41" s="14">
        <f>H41+I41-J41</f>
        <v>796.60000000000582</v>
      </c>
      <c r="L41" s="15">
        <f>+F41</f>
        <v>0.99865499993274998</v>
      </c>
      <c r="M41" s="107">
        <f t="shared" si="6"/>
        <v>0</v>
      </c>
      <c r="N41" s="284"/>
      <c r="Q41" s="141"/>
      <c r="R41" s="144"/>
    </row>
    <row r="42" spans="1:18" s="5" customFormat="1" x14ac:dyDescent="0.2">
      <c r="A42" s="248" t="s">
        <v>60</v>
      </c>
      <c r="B42" s="21">
        <f t="shared" ref="B42:K42" si="11">SUM(B26:B41)</f>
        <v>121081081.11999999</v>
      </c>
      <c r="C42" s="21">
        <f t="shared" si="11"/>
        <v>121081081.11999999</v>
      </c>
      <c r="D42" s="21">
        <f t="shared" si="11"/>
        <v>652338.12000000011</v>
      </c>
      <c r="E42" s="21">
        <f t="shared" si="11"/>
        <v>120693847.91999999</v>
      </c>
      <c r="F42" s="249">
        <f t="shared" si="11"/>
        <v>11.830358047036968</v>
      </c>
      <c r="G42" s="249">
        <f t="shared" si="11"/>
        <v>1039571.3200000058</v>
      </c>
      <c r="H42" s="249">
        <f t="shared" si="11"/>
        <v>28896999.160000004</v>
      </c>
      <c r="I42" s="249">
        <f t="shared" si="11"/>
        <v>3726575.01</v>
      </c>
      <c r="J42" s="249">
        <f t="shared" si="11"/>
        <v>31584002.850000005</v>
      </c>
      <c r="K42" s="249">
        <f t="shared" si="11"/>
        <v>1039571.3200000018</v>
      </c>
      <c r="L42" s="252"/>
      <c r="M42" s="118">
        <f>SUM(M26:M41)</f>
        <v>-3.836930773104541E-9</v>
      </c>
      <c r="N42" s="203"/>
      <c r="O42" s="143"/>
      <c r="P42" s="143"/>
    </row>
    <row r="43" spans="1:18" s="17" customFormat="1" x14ac:dyDescent="0.25">
      <c r="A43" s="139" t="s">
        <v>18</v>
      </c>
      <c r="B43" s="10">
        <v>9668787.5</v>
      </c>
      <c r="C43" s="10">
        <f>+B43-8808992.11</f>
        <v>859795.3900000006</v>
      </c>
      <c r="D43" s="11">
        <v>0</v>
      </c>
      <c r="E43" s="10">
        <v>126202.22</v>
      </c>
      <c r="F43" s="12">
        <f>+E43/C43</f>
        <v>0.14678168953662327</v>
      </c>
      <c r="G43" s="109">
        <f t="shared" ref="G43:G56" si="12">+C43+D43-E43</f>
        <v>733593.17000000062</v>
      </c>
      <c r="H43" s="11">
        <v>760336.44</v>
      </c>
      <c r="I43" s="14">
        <f>35750.7+49054.32+10000+17400</f>
        <v>112205.01999999999</v>
      </c>
      <c r="J43" s="14">
        <f>42293+3275.91+3277.52+90101.86</f>
        <v>138948.29</v>
      </c>
      <c r="K43" s="14">
        <f>H43+I43-J43</f>
        <v>733593.16999999993</v>
      </c>
      <c r="L43" s="15">
        <f>+F43</f>
        <v>0.14678168953662327</v>
      </c>
      <c r="M43" s="62">
        <f t="shared" ref="M43:M56" si="13">+K43-G43</f>
        <v>0</v>
      </c>
      <c r="N43" s="271"/>
      <c r="O43" s="153"/>
      <c r="P43" s="142"/>
    </row>
    <row r="44" spans="1:18" x14ac:dyDescent="0.2">
      <c r="A44" s="262" t="s">
        <v>20</v>
      </c>
      <c r="B44" s="109">
        <v>27138333.23</v>
      </c>
      <c r="C44" s="109">
        <v>27138333.23</v>
      </c>
      <c r="D44" s="261">
        <v>0</v>
      </c>
      <c r="E44" s="109">
        <f>26415966.23+831927-8117.68</f>
        <v>27239775.550000001</v>
      </c>
      <c r="F44" s="263">
        <f t="shared" ref="F44:F49" si="14">+E44/C44</f>
        <v>1.003737971641083</v>
      </c>
      <c r="G44" s="109">
        <f t="shared" si="12"/>
        <v>-101442.3200000003</v>
      </c>
      <c r="H44" s="264">
        <v>391978.01</v>
      </c>
      <c r="I44" s="201">
        <v>37944</v>
      </c>
      <c r="J44" s="201">
        <f>326678+16708.93+21550.06+166427.34</f>
        <v>531364.32999999996</v>
      </c>
      <c r="K44" s="201">
        <f t="shared" ref="K44:K51" si="15">H44+I44-J44</f>
        <v>-101442.31999999995</v>
      </c>
      <c r="L44" s="265">
        <f t="shared" ref="L44:L56" si="16">+F44</f>
        <v>1.003737971641083</v>
      </c>
      <c r="M44" s="62">
        <f t="shared" si="13"/>
        <v>3.4924596548080444E-10</v>
      </c>
      <c r="N44" s="272"/>
      <c r="O44" s="151"/>
    </row>
    <row r="45" spans="1:18" x14ac:dyDescent="0.2">
      <c r="A45" s="139" t="s">
        <v>21</v>
      </c>
      <c r="B45" s="10">
        <v>321506.03999999998</v>
      </c>
      <c r="C45" s="10">
        <f>+B45-280892.37</f>
        <v>40613.669999999984</v>
      </c>
      <c r="D45" s="11">
        <v>0</v>
      </c>
      <c r="E45" s="11">
        <v>40613.67</v>
      </c>
      <c r="F45" s="12">
        <f t="shared" si="14"/>
        <v>1.0000000000000004</v>
      </c>
      <c r="G45" s="109">
        <f t="shared" si="12"/>
        <v>0</v>
      </c>
      <c r="H45" s="13">
        <v>0</v>
      </c>
      <c r="I45" s="14">
        <v>0</v>
      </c>
      <c r="J45" s="14">
        <v>0</v>
      </c>
      <c r="K45" s="14">
        <f t="shared" si="15"/>
        <v>0</v>
      </c>
      <c r="L45" s="15">
        <f t="shared" si="16"/>
        <v>1.0000000000000004</v>
      </c>
      <c r="M45" s="62">
        <f t="shared" si="13"/>
        <v>0</v>
      </c>
    </row>
    <row r="46" spans="1:18" x14ac:dyDescent="0.2">
      <c r="A46" s="139" t="s">
        <v>22</v>
      </c>
      <c r="B46" s="10">
        <v>570803.89</v>
      </c>
      <c r="C46" s="10">
        <f>+B46-491970.23</f>
        <v>78833.660000000033</v>
      </c>
      <c r="D46" s="11">
        <v>0</v>
      </c>
      <c r="E46" s="11">
        <v>78833.66</v>
      </c>
      <c r="F46" s="12">
        <f t="shared" si="14"/>
        <v>0.99999999999999967</v>
      </c>
      <c r="G46" s="109">
        <f t="shared" si="12"/>
        <v>0</v>
      </c>
      <c r="H46" s="13">
        <v>0</v>
      </c>
      <c r="I46" s="14">
        <v>0</v>
      </c>
      <c r="J46" s="14">
        <v>0</v>
      </c>
      <c r="K46" s="14">
        <f t="shared" si="15"/>
        <v>0</v>
      </c>
      <c r="L46" s="15">
        <f t="shared" si="16"/>
        <v>0.99999999999999967</v>
      </c>
      <c r="M46" s="62">
        <f t="shared" si="13"/>
        <v>0</v>
      </c>
    </row>
    <row r="47" spans="1:18" x14ac:dyDescent="0.2">
      <c r="A47" s="139" t="s">
        <v>23</v>
      </c>
      <c r="B47" s="10">
        <v>1307693.44</v>
      </c>
      <c r="C47" s="10">
        <f>+B47-1273287.15</f>
        <v>34406.290000000037</v>
      </c>
      <c r="D47" s="11">
        <v>0</v>
      </c>
      <c r="E47" s="11">
        <v>34406.29</v>
      </c>
      <c r="F47" s="12">
        <f t="shared" si="14"/>
        <v>0.99999999999999889</v>
      </c>
      <c r="G47" s="109">
        <f t="shared" si="12"/>
        <v>0</v>
      </c>
      <c r="H47" s="13">
        <v>0</v>
      </c>
      <c r="I47" s="14">
        <v>0</v>
      </c>
      <c r="J47" s="14">
        <v>0</v>
      </c>
      <c r="K47" s="14">
        <f t="shared" si="15"/>
        <v>0</v>
      </c>
      <c r="L47" s="15">
        <f t="shared" si="16"/>
        <v>0.99999999999999889</v>
      </c>
      <c r="M47" s="62">
        <f t="shared" si="13"/>
        <v>0</v>
      </c>
    </row>
    <row r="48" spans="1:18" x14ac:dyDescent="0.2">
      <c r="A48" s="139" t="s">
        <v>24</v>
      </c>
      <c r="B48" s="10">
        <v>14234360.859999999</v>
      </c>
      <c r="C48" s="10">
        <f>+B48-14197791.76</f>
        <v>36569.099999999627</v>
      </c>
      <c r="D48" s="11">
        <v>0</v>
      </c>
      <c r="E48" s="10">
        <v>208.8</v>
      </c>
      <c r="F48" s="12">
        <f t="shared" si="14"/>
        <v>5.7097385497592813E-3</v>
      </c>
      <c r="G48" s="109">
        <f t="shared" si="12"/>
        <v>36360.299999999625</v>
      </c>
      <c r="H48" s="13">
        <v>-340080.7</v>
      </c>
      <c r="I48" s="14">
        <v>782752</v>
      </c>
      <c r="J48" s="14">
        <f>280823+125488</f>
        <v>406311</v>
      </c>
      <c r="K48" s="14">
        <f t="shared" si="15"/>
        <v>36360.299999999988</v>
      </c>
      <c r="L48" s="15">
        <f t="shared" si="16"/>
        <v>5.7097385497592813E-3</v>
      </c>
      <c r="M48" s="62">
        <f t="shared" si="13"/>
        <v>3.637978807091713E-10</v>
      </c>
      <c r="O48" s="151"/>
    </row>
    <row r="49" spans="1:18" x14ac:dyDescent="0.2">
      <c r="A49" s="139" t="s">
        <v>25</v>
      </c>
      <c r="B49" s="10">
        <v>658261.61</v>
      </c>
      <c r="C49" s="10">
        <f>+B49-367499.68</f>
        <v>290761.93</v>
      </c>
      <c r="D49" s="11">
        <v>0</v>
      </c>
      <c r="E49" s="10">
        <v>281389.86</v>
      </c>
      <c r="F49" s="12">
        <f t="shared" si="14"/>
        <v>0.96776720391146109</v>
      </c>
      <c r="G49" s="109">
        <f t="shared" si="12"/>
        <v>9372.070000000007</v>
      </c>
      <c r="H49" s="13">
        <v>56340.94</v>
      </c>
      <c r="I49" s="14">
        <v>0</v>
      </c>
      <c r="J49" s="14">
        <v>46968.87</v>
      </c>
      <c r="K49" s="14">
        <f t="shared" si="15"/>
        <v>9372.07</v>
      </c>
      <c r="L49" s="15">
        <f t="shared" si="16"/>
        <v>0.96776720391146109</v>
      </c>
      <c r="M49" s="62">
        <f t="shared" si="13"/>
        <v>0</v>
      </c>
    </row>
    <row r="50" spans="1:18" x14ac:dyDescent="0.2">
      <c r="A50" s="139" t="s">
        <v>53</v>
      </c>
      <c r="B50" s="10">
        <v>158979.12</v>
      </c>
      <c r="C50" s="10">
        <f>+B50</f>
        <v>158979.12</v>
      </c>
      <c r="D50" s="11">
        <v>0</v>
      </c>
      <c r="E50" s="11">
        <v>120000</v>
      </c>
      <c r="F50" s="12">
        <v>0</v>
      </c>
      <c r="G50" s="201">
        <f t="shared" si="12"/>
        <v>38979.119999999995</v>
      </c>
      <c r="H50" s="11">
        <v>43979.12</v>
      </c>
      <c r="I50" s="14">
        <v>0</v>
      </c>
      <c r="J50" s="14">
        <v>5000</v>
      </c>
      <c r="K50" s="14">
        <f t="shared" si="15"/>
        <v>38979.120000000003</v>
      </c>
      <c r="L50" s="15">
        <f t="shared" si="16"/>
        <v>0</v>
      </c>
      <c r="M50" s="62">
        <f t="shared" si="13"/>
        <v>0</v>
      </c>
    </row>
    <row r="51" spans="1:18" x14ac:dyDescent="0.2">
      <c r="A51" s="139" t="s">
        <v>28</v>
      </c>
      <c r="B51" s="10">
        <v>47798.07</v>
      </c>
      <c r="C51" s="10">
        <f>+B51-23516.14</f>
        <v>24281.93</v>
      </c>
      <c r="D51" s="11">
        <v>0</v>
      </c>
      <c r="E51" s="11">
        <v>0</v>
      </c>
      <c r="F51" s="12">
        <v>0</v>
      </c>
      <c r="G51" s="201">
        <f t="shared" si="12"/>
        <v>24281.93</v>
      </c>
      <c r="H51" s="11">
        <v>24281.93</v>
      </c>
      <c r="I51" s="14">
        <v>0</v>
      </c>
      <c r="J51" s="14">
        <v>0</v>
      </c>
      <c r="K51" s="14">
        <f t="shared" si="15"/>
        <v>24281.93</v>
      </c>
      <c r="L51" s="15">
        <f t="shared" si="16"/>
        <v>0</v>
      </c>
      <c r="M51" s="62">
        <f t="shared" si="13"/>
        <v>0</v>
      </c>
      <c r="N51" s="270"/>
    </row>
    <row r="52" spans="1:18" x14ac:dyDescent="0.2">
      <c r="A52" s="139" t="s">
        <v>29</v>
      </c>
      <c r="B52" s="10">
        <v>27972730</v>
      </c>
      <c r="C52" s="10">
        <f>+B52-27809818.06</f>
        <v>162911.94000000134</v>
      </c>
      <c r="D52" s="11">
        <v>186451.15</v>
      </c>
      <c r="E52" s="11">
        <v>0</v>
      </c>
      <c r="F52" s="12">
        <f>+E52/C52</f>
        <v>0</v>
      </c>
      <c r="G52" s="109">
        <f t="shared" si="12"/>
        <v>349363.09000000136</v>
      </c>
      <c r="H52" s="13">
        <v>656033.13</v>
      </c>
      <c r="I52" s="14">
        <f>-1</f>
        <v>-1</v>
      </c>
      <c r="J52" s="14">
        <f>219666.96+67322.53+19679.55</f>
        <v>306669.03999999998</v>
      </c>
      <c r="K52" s="14">
        <f>H52+I52-J52</f>
        <v>349363.09</v>
      </c>
      <c r="L52" s="15">
        <f t="shared" si="16"/>
        <v>0</v>
      </c>
      <c r="M52" s="62">
        <f t="shared" si="13"/>
        <v>-1.3387762010097504E-9</v>
      </c>
      <c r="N52" s="272"/>
    </row>
    <row r="53" spans="1:18" x14ac:dyDescent="0.2">
      <c r="A53" s="139" t="s">
        <v>30</v>
      </c>
      <c r="B53" s="10">
        <v>21170988.52</v>
      </c>
      <c r="C53" s="10">
        <f>+B53-21163370.79</f>
        <v>7617.730000000447</v>
      </c>
      <c r="D53" s="11">
        <v>0</v>
      </c>
      <c r="E53" s="10">
        <v>0</v>
      </c>
      <c r="F53" s="12">
        <f>+E53/C53</f>
        <v>0</v>
      </c>
      <c r="G53" s="109">
        <f t="shared" si="12"/>
        <v>7617.730000000447</v>
      </c>
      <c r="H53" s="13">
        <v>113156.96</v>
      </c>
      <c r="I53" s="14">
        <f>63664.06+25043.71</f>
        <v>88707.76999999999</v>
      </c>
      <c r="J53" s="14">
        <f>170257+6000+17990</f>
        <v>194247</v>
      </c>
      <c r="K53" s="14">
        <f>H53+I53-J53</f>
        <v>7617.7299999999814</v>
      </c>
      <c r="L53" s="15">
        <f t="shared" si="16"/>
        <v>0</v>
      </c>
      <c r="M53" s="107">
        <f t="shared" si="13"/>
        <v>-4.6566128730773926E-10</v>
      </c>
      <c r="N53" s="273"/>
      <c r="Q53" s="141"/>
      <c r="R53" s="144"/>
    </row>
    <row r="54" spans="1:18" ht="27" x14ac:dyDescent="0.2">
      <c r="A54" s="139" t="s">
        <v>56</v>
      </c>
      <c r="B54" s="10">
        <v>1500000</v>
      </c>
      <c r="C54" s="10">
        <f>1500000-1499965.2</f>
        <v>34.800000000046566</v>
      </c>
      <c r="D54" s="11">
        <v>0</v>
      </c>
      <c r="E54" s="10">
        <v>0</v>
      </c>
      <c r="F54" s="12">
        <f>+E54/C54</f>
        <v>0</v>
      </c>
      <c r="G54" s="109">
        <f t="shared" si="12"/>
        <v>34.800000000046566</v>
      </c>
      <c r="H54" s="13">
        <v>34.799999999999997</v>
      </c>
      <c r="I54" s="14">
        <v>0</v>
      </c>
      <c r="J54" s="14">
        <v>0</v>
      </c>
      <c r="K54" s="14">
        <f>H54+I54-J54</f>
        <v>34.799999999999997</v>
      </c>
      <c r="L54" s="15">
        <f t="shared" si="16"/>
        <v>0</v>
      </c>
      <c r="M54" s="107">
        <f t="shared" si="13"/>
        <v>-4.6568970901716966E-11</v>
      </c>
      <c r="N54" s="273"/>
      <c r="Q54" s="141"/>
      <c r="R54" s="144"/>
    </row>
    <row r="55" spans="1:18" x14ac:dyDescent="0.2">
      <c r="A55" s="139" t="s">
        <v>58</v>
      </c>
      <c r="B55" s="10">
        <v>8800000</v>
      </c>
      <c r="C55" s="10">
        <f>+B55-8793327.97</f>
        <v>6672.0299999993294</v>
      </c>
      <c r="D55" s="11">
        <v>0</v>
      </c>
      <c r="E55" s="10">
        <v>0</v>
      </c>
      <c r="F55" s="12">
        <f>+E55/C55</f>
        <v>0</v>
      </c>
      <c r="G55" s="109">
        <f t="shared" si="12"/>
        <v>6672.0299999993294</v>
      </c>
      <c r="H55" s="13">
        <v>136749.53</v>
      </c>
      <c r="I55" s="14">
        <v>0</v>
      </c>
      <c r="J55" s="14">
        <f>75804.55+37902.27+11370.68+5000</f>
        <v>130077.5</v>
      </c>
      <c r="K55" s="14">
        <f>H55+I55-J55</f>
        <v>6672.0299999999988</v>
      </c>
      <c r="L55" s="15">
        <f t="shared" si="16"/>
        <v>0</v>
      </c>
      <c r="M55" s="107">
        <f t="shared" si="13"/>
        <v>6.6938810050487518E-10</v>
      </c>
      <c r="N55" s="273"/>
      <c r="Q55" s="141"/>
      <c r="R55" s="144"/>
    </row>
    <row r="56" spans="1:18" x14ac:dyDescent="0.2">
      <c r="A56" s="139" t="s">
        <v>57</v>
      </c>
      <c r="B56" s="10">
        <v>3362600</v>
      </c>
      <c r="C56" s="10">
        <f>+B56-3361389.36</f>
        <v>1210.6400000001304</v>
      </c>
      <c r="D56" s="11">
        <v>0</v>
      </c>
      <c r="E56" s="10">
        <v>0</v>
      </c>
      <c r="F56" s="12">
        <f>+E56/C56</f>
        <v>0</v>
      </c>
      <c r="G56" s="109">
        <f t="shared" si="12"/>
        <v>1210.6400000001304</v>
      </c>
      <c r="H56" s="13">
        <v>54023.49</v>
      </c>
      <c r="I56" s="14">
        <v>0</v>
      </c>
      <c r="J56" s="14">
        <f>28977.48+14488.74+4346.63+5000</f>
        <v>52812.85</v>
      </c>
      <c r="K56" s="14">
        <f>H56+I56-J56</f>
        <v>1210.6399999999994</v>
      </c>
      <c r="L56" s="15">
        <f t="shared" si="16"/>
        <v>0</v>
      </c>
      <c r="M56" s="107">
        <f t="shared" si="13"/>
        <v>-1.3096723705530167E-10</v>
      </c>
      <c r="N56" s="273"/>
      <c r="Q56" s="141"/>
      <c r="R56" s="144"/>
    </row>
    <row r="57" spans="1:18" s="5" customFormat="1" x14ac:dyDescent="0.2">
      <c r="A57" s="20" t="s">
        <v>51</v>
      </c>
      <c r="B57" s="21">
        <f t="shared" ref="B57:K57" si="17">SUM(B43:B53)</f>
        <v>103250242.27999999</v>
      </c>
      <c r="C57" s="21">
        <f t="shared" si="17"/>
        <v>28833103.990000006</v>
      </c>
      <c r="D57" s="21">
        <f t="shared" si="17"/>
        <v>186451.15</v>
      </c>
      <c r="E57" s="21">
        <f t="shared" si="17"/>
        <v>27921430.050000001</v>
      </c>
      <c r="F57" s="21">
        <f t="shared" si="17"/>
        <v>5.1239966036389255</v>
      </c>
      <c r="G57" s="21">
        <f t="shared" si="17"/>
        <v>1098125.0900000017</v>
      </c>
      <c r="H57" s="21">
        <f t="shared" si="17"/>
        <v>1706025.83</v>
      </c>
      <c r="I57" s="21">
        <f t="shared" si="17"/>
        <v>1021607.79</v>
      </c>
      <c r="J57" s="21">
        <f t="shared" si="17"/>
        <v>1629508.5300000003</v>
      </c>
      <c r="K57" s="21">
        <f t="shared" si="17"/>
        <v>1098125.0899999999</v>
      </c>
      <c r="L57" s="23"/>
      <c r="M57" s="61"/>
      <c r="N57" s="203"/>
      <c r="O57" s="143"/>
      <c r="P57" s="143"/>
    </row>
    <row r="58" spans="1:18" s="17" customFormat="1" x14ac:dyDescent="0.25">
      <c r="A58" s="139" t="s">
        <v>18</v>
      </c>
      <c r="B58" s="10">
        <f>+C58</f>
        <v>557287.6400000006</v>
      </c>
      <c r="C58" s="10">
        <f>9497181.34-8522902.7-416991</f>
        <v>557287.6400000006</v>
      </c>
      <c r="D58" s="11">
        <v>0</v>
      </c>
      <c r="E58" s="10">
        <v>2038.23</v>
      </c>
      <c r="F58" s="12">
        <f>+E58/C58</f>
        <v>3.657411099230548E-3</v>
      </c>
      <c r="G58" s="10">
        <f>+C58+D58-E58</f>
        <v>555249.41000000061</v>
      </c>
      <c r="H58" s="13">
        <f>362224.72-0.47</f>
        <v>362224.25</v>
      </c>
      <c r="I58" s="14">
        <f>22013.2+172259.48</f>
        <v>194272.68000000002</v>
      </c>
      <c r="J58" s="14">
        <f>-4302.52+5550.04</f>
        <v>1247.5199999999995</v>
      </c>
      <c r="K58" s="14">
        <f>H58+I58-J58</f>
        <v>555249.41</v>
      </c>
      <c r="L58" s="15">
        <f>+F58</f>
        <v>3.657411099230548E-3</v>
      </c>
      <c r="M58" s="155">
        <f t="shared" ref="M58:M67" si="18">+K58-G58</f>
        <v>0</v>
      </c>
      <c r="N58" s="187"/>
      <c r="O58" s="142"/>
      <c r="P58" s="142"/>
    </row>
    <row r="59" spans="1:18" x14ac:dyDescent="0.2">
      <c r="A59" s="139" t="s">
        <v>20</v>
      </c>
      <c r="B59" s="10">
        <v>0</v>
      </c>
      <c r="C59" s="10">
        <f>981063.54-174602.54</f>
        <v>806461</v>
      </c>
      <c r="D59" s="11">
        <v>0</v>
      </c>
      <c r="E59" s="10">
        <v>0</v>
      </c>
      <c r="F59" s="12">
        <f t="shared" ref="F59:F68" si="19">+E59/C59</f>
        <v>0</v>
      </c>
      <c r="G59" s="10">
        <f>+C59+D59-E59</f>
        <v>806461</v>
      </c>
      <c r="H59" s="13">
        <v>1795340.56</v>
      </c>
      <c r="I59" s="14">
        <v>1162</v>
      </c>
      <c r="J59" s="14">
        <f>272555.03+160187.53+557299</f>
        <v>990041.56</v>
      </c>
      <c r="K59" s="14">
        <f t="shared" ref="K59:K84" si="20">H59+I59-J59</f>
        <v>806461</v>
      </c>
      <c r="L59" s="15">
        <f t="shared" ref="L59:L68" si="21">+F59</f>
        <v>0</v>
      </c>
      <c r="M59" s="62">
        <f>+K59-G59</f>
        <v>0</v>
      </c>
      <c r="N59" s="272"/>
    </row>
    <row r="60" spans="1:18" x14ac:dyDescent="0.2">
      <c r="A60" s="139" t="s">
        <v>21</v>
      </c>
      <c r="B60" s="10">
        <f t="shared" ref="B60:B68" si="22">+C60</f>
        <v>465.82999999998719</v>
      </c>
      <c r="C60" s="10">
        <f>266576.99-80893-185218.16</f>
        <v>465.82999999998719</v>
      </c>
      <c r="D60" s="11">
        <v>0</v>
      </c>
      <c r="E60" s="10">
        <v>0</v>
      </c>
      <c r="F60" s="12">
        <f t="shared" si="19"/>
        <v>0</v>
      </c>
      <c r="G60" s="10">
        <f>+C60+D60-E60</f>
        <v>465.82999999998719</v>
      </c>
      <c r="H60" s="13">
        <v>465.83</v>
      </c>
      <c r="I60" s="14">
        <v>0</v>
      </c>
      <c r="J60" s="14">
        <v>0</v>
      </c>
      <c r="K60" s="14">
        <f t="shared" si="20"/>
        <v>465.83</v>
      </c>
      <c r="L60" s="15">
        <f t="shared" si="21"/>
        <v>0</v>
      </c>
      <c r="M60" s="155">
        <f t="shared" si="18"/>
        <v>1.2789769243681803E-11</v>
      </c>
    </row>
    <row r="61" spans="1:18" x14ac:dyDescent="0.2">
      <c r="A61" s="139" t="s">
        <v>22</v>
      </c>
      <c r="B61" s="10">
        <f t="shared" si="22"/>
        <v>6067.4599999999627</v>
      </c>
      <c r="C61" s="10">
        <f>375412.66-201977-167368.2</f>
        <v>6067.4599999999627</v>
      </c>
      <c r="D61" s="10">
        <v>149.51</v>
      </c>
      <c r="E61" s="10">
        <v>0</v>
      </c>
      <c r="F61" s="12">
        <f t="shared" si="19"/>
        <v>0</v>
      </c>
      <c r="G61" s="10">
        <f t="shared" ref="G61:G66" si="23">+C61+D61-E61</f>
        <v>6216.969999999963</v>
      </c>
      <c r="H61" s="13">
        <v>6216.97</v>
      </c>
      <c r="I61" s="14">
        <v>0</v>
      </c>
      <c r="J61" s="14">
        <v>0</v>
      </c>
      <c r="K61" s="14">
        <f t="shared" si="20"/>
        <v>6216.97</v>
      </c>
      <c r="L61" s="15">
        <f t="shared" si="21"/>
        <v>0</v>
      </c>
      <c r="M61" s="62">
        <f t="shared" si="18"/>
        <v>3.7289282772690058E-11</v>
      </c>
    </row>
    <row r="62" spans="1:18" x14ac:dyDescent="0.2">
      <c r="A62" s="139" t="s">
        <v>23</v>
      </c>
      <c r="B62" s="10">
        <f t="shared" si="22"/>
        <v>17016.04999999993</v>
      </c>
      <c r="C62" s="10">
        <f>1302246.39-788192.61-497037.73</f>
        <v>17016.04999999993</v>
      </c>
      <c r="D62" s="10">
        <v>408.58</v>
      </c>
      <c r="E62" s="10">
        <v>0</v>
      </c>
      <c r="F62" s="12">
        <f t="shared" si="19"/>
        <v>0</v>
      </c>
      <c r="G62" s="10">
        <f t="shared" si="23"/>
        <v>17424.629999999932</v>
      </c>
      <c r="H62" s="13">
        <v>17424.63</v>
      </c>
      <c r="I62" s="14">
        <v>0</v>
      </c>
      <c r="J62" s="14">
        <v>0</v>
      </c>
      <c r="K62" s="14">
        <f t="shared" si="20"/>
        <v>17424.63</v>
      </c>
      <c r="L62" s="15">
        <f t="shared" si="21"/>
        <v>0</v>
      </c>
      <c r="M62" s="155">
        <f t="shared" si="18"/>
        <v>6.9121597334742546E-11</v>
      </c>
    </row>
    <row r="63" spans="1:18" x14ac:dyDescent="0.2">
      <c r="A63" s="139" t="s">
        <v>24</v>
      </c>
      <c r="B63" s="10">
        <f t="shared" si="22"/>
        <v>412246.5499999997</v>
      </c>
      <c r="C63" s="10">
        <f>13636634.35-13212786.17-11601.63</f>
        <v>412246.5499999997</v>
      </c>
      <c r="D63" s="11">
        <v>-459</v>
      </c>
      <c r="E63" s="10">
        <v>0</v>
      </c>
      <c r="F63" s="12">
        <f t="shared" si="19"/>
        <v>0</v>
      </c>
      <c r="G63" s="10">
        <f>+C63+D63-E63</f>
        <v>411787.5499999997</v>
      </c>
      <c r="H63" s="13">
        <v>37530.339999999997</v>
      </c>
      <c r="I63" s="14">
        <v>456237</v>
      </c>
      <c r="J63" s="14">
        <f>52394.42+7312.79+22272.58</f>
        <v>81979.790000000008</v>
      </c>
      <c r="K63" s="14">
        <f t="shared" si="20"/>
        <v>411787.54999999993</v>
      </c>
      <c r="L63" s="15">
        <f t="shared" si="21"/>
        <v>0</v>
      </c>
      <c r="M63" s="62">
        <f t="shared" si="18"/>
        <v>0</v>
      </c>
    </row>
    <row r="64" spans="1:18" x14ac:dyDescent="0.2">
      <c r="A64" s="139" t="s">
        <v>25</v>
      </c>
      <c r="B64" s="10">
        <f t="shared" si="22"/>
        <v>5151.3900000000722</v>
      </c>
      <c r="C64" s="10">
        <f>868753.03-542712.97-320888.67</f>
        <v>5151.3900000000722</v>
      </c>
      <c r="D64" s="10">
        <v>131.31</v>
      </c>
      <c r="E64" s="10">
        <v>0</v>
      </c>
      <c r="F64" s="12">
        <f t="shared" si="19"/>
        <v>0</v>
      </c>
      <c r="G64" s="10">
        <f t="shared" si="23"/>
        <v>5282.7000000000726</v>
      </c>
      <c r="H64" s="13">
        <v>5282.7</v>
      </c>
      <c r="I64" s="14">
        <v>0</v>
      </c>
      <c r="J64" s="14">
        <v>0</v>
      </c>
      <c r="K64" s="14">
        <f t="shared" si="20"/>
        <v>5282.7</v>
      </c>
      <c r="L64" s="15">
        <f t="shared" si="21"/>
        <v>0</v>
      </c>
      <c r="M64" s="155">
        <f t="shared" si="18"/>
        <v>-7.2759576141834259E-11</v>
      </c>
    </row>
    <row r="65" spans="1:16" x14ac:dyDescent="0.2">
      <c r="A65" s="139" t="s">
        <v>27</v>
      </c>
      <c r="B65" s="10">
        <f t="shared" si="22"/>
        <v>3767.3699999999953</v>
      </c>
      <c r="C65" s="10">
        <f>573447.69-569680.32</f>
        <v>3767.3699999999953</v>
      </c>
      <c r="D65" s="11">
        <v>0</v>
      </c>
      <c r="E65" s="10">
        <v>0</v>
      </c>
      <c r="F65" s="12">
        <f t="shared" si="19"/>
        <v>0</v>
      </c>
      <c r="G65" s="10">
        <f t="shared" si="23"/>
        <v>3767.3699999999953</v>
      </c>
      <c r="H65" s="13">
        <v>3767.37</v>
      </c>
      <c r="I65" s="14">
        <v>0</v>
      </c>
      <c r="J65" s="14">
        <v>0</v>
      </c>
      <c r="K65" s="14">
        <f t="shared" si="20"/>
        <v>3767.37</v>
      </c>
      <c r="L65" s="15">
        <f t="shared" si="21"/>
        <v>0</v>
      </c>
      <c r="M65" s="62">
        <f t="shared" si="18"/>
        <v>4.5474735088646412E-12</v>
      </c>
    </row>
    <row r="66" spans="1:16" x14ac:dyDescent="0.2">
      <c r="A66" s="139" t="s">
        <v>28</v>
      </c>
      <c r="B66" s="10">
        <f t="shared" si="22"/>
        <v>542.31999999999971</v>
      </c>
      <c r="C66" s="10">
        <f>36484.65-0-35942.33</f>
        <v>542.31999999999971</v>
      </c>
      <c r="D66" s="11">
        <v>0</v>
      </c>
      <c r="E66" s="10">
        <v>0</v>
      </c>
      <c r="F66" s="12">
        <f t="shared" si="19"/>
        <v>0</v>
      </c>
      <c r="G66" s="10">
        <f t="shared" si="23"/>
        <v>542.31999999999971</v>
      </c>
      <c r="H66" s="13">
        <v>542.32000000000005</v>
      </c>
      <c r="I66" s="14">
        <v>0</v>
      </c>
      <c r="J66" s="14">
        <v>0</v>
      </c>
      <c r="K66" s="14">
        <f t="shared" si="20"/>
        <v>542.32000000000005</v>
      </c>
      <c r="L66" s="15">
        <f t="shared" si="21"/>
        <v>0</v>
      </c>
      <c r="M66" s="155">
        <f t="shared" si="18"/>
        <v>0</v>
      </c>
    </row>
    <row r="67" spans="1:16" x14ac:dyDescent="0.2">
      <c r="A67" s="139" t="s">
        <v>29</v>
      </c>
      <c r="B67" s="10">
        <f>+C67</f>
        <v>489577.01999999862</v>
      </c>
      <c r="C67" s="10">
        <f>25804148.7-21535015.98-3779555.7</f>
        <v>489577.01999999862</v>
      </c>
      <c r="D67" s="45"/>
      <c r="E67" s="10">
        <v>0</v>
      </c>
      <c r="F67" s="12">
        <f t="shared" si="19"/>
        <v>0</v>
      </c>
      <c r="G67" s="10">
        <f>+C67+D67-E67</f>
        <v>489577.01999999862</v>
      </c>
      <c r="H67" s="13">
        <f>2255525.44-1688966.46</f>
        <v>566558.98</v>
      </c>
      <c r="I67" s="14">
        <v>122706.07</v>
      </c>
      <c r="J67" s="14">
        <f>20016.25+99956.62+61086.68+18628.48</f>
        <v>199688.03</v>
      </c>
      <c r="K67" s="14">
        <f>H67+I67-J67</f>
        <v>489577.02</v>
      </c>
      <c r="L67" s="15">
        <f t="shared" si="21"/>
        <v>0</v>
      </c>
      <c r="M67" s="62">
        <f t="shared" si="18"/>
        <v>1.3969838619232178E-9</v>
      </c>
      <c r="N67" s="272"/>
    </row>
    <row r="68" spans="1:16" x14ac:dyDescent="0.2">
      <c r="A68" s="139" t="s">
        <v>30</v>
      </c>
      <c r="B68" s="10">
        <f t="shared" si="22"/>
        <v>193749.02000000025</v>
      </c>
      <c r="C68" s="10">
        <f>19272341-17976826.68-1101765.3</f>
        <v>193749.02000000025</v>
      </c>
      <c r="D68" s="10">
        <v>4227.0200000000004</v>
      </c>
      <c r="E68" s="10">
        <v>0</v>
      </c>
      <c r="F68" s="12">
        <f t="shared" si="19"/>
        <v>0</v>
      </c>
      <c r="G68" s="10">
        <f>+C68+D68-E68</f>
        <v>197976.04000000024</v>
      </c>
      <c r="H68" s="13">
        <v>171700.75</v>
      </c>
      <c r="I68" s="14">
        <v>296402</v>
      </c>
      <c r="J68" s="14">
        <f>26299+244312.48</f>
        <v>270611.48</v>
      </c>
      <c r="K68" s="14">
        <f>H68+I68-J68</f>
        <v>197491.27000000002</v>
      </c>
      <c r="L68" s="15">
        <f t="shared" si="21"/>
        <v>0</v>
      </c>
      <c r="M68" s="155">
        <f>+K68-G68</f>
        <v>-484.77000000022235</v>
      </c>
      <c r="N68" s="273"/>
    </row>
    <row r="69" spans="1:16" s="5" customFormat="1" x14ac:dyDescent="0.2">
      <c r="A69" s="20" t="s">
        <v>33</v>
      </c>
      <c r="B69" s="21">
        <f>SUM(B58:B68)</f>
        <v>1685870.649999999</v>
      </c>
      <c r="C69" s="21">
        <f>SUM(C58:C68)</f>
        <v>2492331.6499999994</v>
      </c>
      <c r="D69" s="21">
        <f>SUM(D58:D68)</f>
        <v>4457.42</v>
      </c>
      <c r="E69" s="21">
        <f>SUM(E58:E68)</f>
        <v>2038.23</v>
      </c>
      <c r="F69" s="22">
        <f>+E69/C69</f>
        <v>8.178004721000917E-4</v>
      </c>
      <c r="G69" s="21">
        <f>SUM(G58:G68)</f>
        <v>2494750.8399999989</v>
      </c>
      <c r="H69" s="21">
        <f>SUM(H58:H68)</f>
        <v>2967054.7</v>
      </c>
      <c r="I69" s="21">
        <f>SUM(I58:I68)</f>
        <v>1070779.75</v>
      </c>
      <c r="J69" s="21">
        <f>SUM(J58:J68)</f>
        <v>1543568.3800000001</v>
      </c>
      <c r="K69" s="21">
        <f>SUM(K58:K68)</f>
        <v>2494266.0700000003</v>
      </c>
      <c r="L69" s="23"/>
      <c r="M69" s="62">
        <f t="shared" ref="M69:M85" si="24">+K69-G69</f>
        <v>-484.76999999862164</v>
      </c>
      <c r="N69" s="203"/>
      <c r="O69" s="143"/>
      <c r="P69" s="143"/>
    </row>
    <row r="70" spans="1:16" x14ac:dyDescent="0.2">
      <c r="A70" s="139" t="s">
        <v>34</v>
      </c>
      <c r="B70" s="10">
        <v>0</v>
      </c>
      <c r="C70" s="10">
        <v>256006.06</v>
      </c>
      <c r="D70" s="13">
        <v>440.75</v>
      </c>
      <c r="E70" s="10">
        <v>0</v>
      </c>
      <c r="F70" s="12">
        <v>0</v>
      </c>
      <c r="G70" s="10">
        <f>+C70+D70-E70</f>
        <v>256446.81</v>
      </c>
      <c r="H70" s="10">
        <v>238695.02</v>
      </c>
      <c r="I70" s="10">
        <v>30099.8</v>
      </c>
      <c r="J70" s="10">
        <v>12348.01</v>
      </c>
      <c r="K70" s="10">
        <f t="shared" si="20"/>
        <v>256446.81</v>
      </c>
      <c r="L70" s="15"/>
      <c r="M70" s="62">
        <f t="shared" si="24"/>
        <v>0</v>
      </c>
    </row>
    <row r="71" spans="1:16" x14ac:dyDescent="0.2">
      <c r="A71" s="20" t="s">
        <v>35</v>
      </c>
      <c r="B71" s="25">
        <f t="shared" ref="B71:K71" si="25">SUM(B70:B70)</f>
        <v>0</v>
      </c>
      <c r="C71" s="25">
        <f t="shared" si="25"/>
        <v>256006.06</v>
      </c>
      <c r="D71" s="25">
        <f t="shared" si="25"/>
        <v>440.75</v>
      </c>
      <c r="E71" s="25">
        <f t="shared" si="25"/>
        <v>0</v>
      </c>
      <c r="F71" s="25">
        <f t="shared" si="25"/>
        <v>0</v>
      </c>
      <c r="G71" s="25">
        <f t="shared" si="25"/>
        <v>256446.81</v>
      </c>
      <c r="H71" s="25">
        <f t="shared" si="25"/>
        <v>238695.02</v>
      </c>
      <c r="I71" s="25">
        <f t="shared" si="25"/>
        <v>30099.8</v>
      </c>
      <c r="J71" s="25">
        <f t="shared" si="25"/>
        <v>12348.01</v>
      </c>
      <c r="K71" s="25">
        <f t="shared" si="25"/>
        <v>256446.81</v>
      </c>
      <c r="L71" s="27"/>
      <c r="M71" s="62">
        <f t="shared" si="24"/>
        <v>0</v>
      </c>
    </row>
    <row r="72" spans="1:16" x14ac:dyDescent="0.2">
      <c r="A72" s="139" t="s">
        <v>18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0.47</v>
      </c>
      <c r="H72" s="10">
        <v>0.47</v>
      </c>
      <c r="I72" s="10">
        <v>0</v>
      </c>
      <c r="J72" s="10">
        <v>0</v>
      </c>
      <c r="K72" s="10">
        <f t="shared" si="20"/>
        <v>0.47</v>
      </c>
      <c r="L72" s="15"/>
      <c r="M72" s="62">
        <f t="shared" si="24"/>
        <v>0</v>
      </c>
    </row>
    <row r="73" spans="1:16" x14ac:dyDescent="0.2">
      <c r="A73" s="139" t="s">
        <v>29</v>
      </c>
      <c r="B73" s="10">
        <v>0</v>
      </c>
      <c r="C73" s="10">
        <v>0</v>
      </c>
      <c r="D73" s="10">
        <v>0</v>
      </c>
      <c r="E73" s="10">
        <v>0</v>
      </c>
      <c r="F73" s="12">
        <v>0</v>
      </c>
      <c r="G73" s="10">
        <v>17.399999999999999</v>
      </c>
      <c r="H73" s="10">
        <v>17.399999999999999</v>
      </c>
      <c r="I73" s="10"/>
      <c r="J73" s="10">
        <v>0</v>
      </c>
      <c r="K73" s="10">
        <f t="shared" si="20"/>
        <v>17.399999999999999</v>
      </c>
      <c r="L73" s="15"/>
      <c r="M73" s="62">
        <f t="shared" si="24"/>
        <v>0</v>
      </c>
    </row>
    <row r="74" spans="1:16" x14ac:dyDescent="0.2">
      <c r="A74" s="20" t="s">
        <v>37</v>
      </c>
      <c r="B74" s="25">
        <f t="shared" ref="B74:K74" si="26">SUM(B72:B73)</f>
        <v>0</v>
      </c>
      <c r="C74" s="25">
        <f t="shared" si="26"/>
        <v>0</v>
      </c>
      <c r="D74" s="25">
        <f t="shared" si="26"/>
        <v>0</v>
      </c>
      <c r="E74" s="25">
        <f t="shared" si="26"/>
        <v>0</v>
      </c>
      <c r="F74" s="25">
        <f t="shared" si="26"/>
        <v>0</v>
      </c>
      <c r="G74" s="25">
        <f t="shared" si="26"/>
        <v>17.869999999999997</v>
      </c>
      <c r="H74" s="25">
        <f t="shared" si="26"/>
        <v>17.869999999999997</v>
      </c>
      <c r="I74" s="25">
        <f t="shared" si="26"/>
        <v>0</v>
      </c>
      <c r="J74" s="25">
        <f t="shared" si="26"/>
        <v>0</v>
      </c>
      <c r="K74" s="25">
        <f t="shared" si="26"/>
        <v>17.869999999999997</v>
      </c>
      <c r="L74" s="27"/>
      <c r="M74" s="62">
        <f>+K74-G74</f>
        <v>0</v>
      </c>
    </row>
    <row r="75" spans="1:16" x14ac:dyDescent="0.2">
      <c r="A75" s="139" t="s">
        <v>18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1392</v>
      </c>
      <c r="H75" s="10">
        <v>1392</v>
      </c>
      <c r="I75" s="10">
        <v>0</v>
      </c>
      <c r="J75" s="10">
        <v>0</v>
      </c>
      <c r="K75" s="10">
        <f t="shared" si="20"/>
        <v>1392</v>
      </c>
      <c r="L75" s="15"/>
      <c r="M75" s="62">
        <f t="shared" si="24"/>
        <v>0</v>
      </c>
    </row>
    <row r="76" spans="1:16" x14ac:dyDescent="0.2">
      <c r="A76" s="139" t="s">
        <v>20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382.8</v>
      </c>
      <c r="H76" s="10">
        <v>382.8</v>
      </c>
      <c r="I76" s="10">
        <v>0</v>
      </c>
      <c r="J76" s="10">
        <v>0</v>
      </c>
      <c r="K76" s="10">
        <f t="shared" si="20"/>
        <v>382.8</v>
      </c>
      <c r="L76" s="15"/>
      <c r="M76" s="62">
        <f t="shared" si="24"/>
        <v>0</v>
      </c>
    </row>
    <row r="77" spans="1:16" x14ac:dyDescent="0.2">
      <c r="A77" s="139" t="s">
        <v>29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242057.67</v>
      </c>
      <c r="H77" s="10">
        <v>242057.67</v>
      </c>
      <c r="I77" s="10">
        <v>0</v>
      </c>
      <c r="J77" s="10">
        <v>0</v>
      </c>
      <c r="K77" s="10">
        <f t="shared" si="20"/>
        <v>242057.67</v>
      </c>
      <c r="L77" s="15"/>
      <c r="M77" s="62">
        <f t="shared" si="24"/>
        <v>0</v>
      </c>
    </row>
    <row r="78" spans="1:16" x14ac:dyDescent="0.2">
      <c r="A78" s="20" t="s">
        <v>38</v>
      </c>
      <c r="B78" s="25">
        <f t="shared" ref="B78:K78" si="27">SUM(B75:B77)</f>
        <v>0</v>
      </c>
      <c r="C78" s="25">
        <f t="shared" si="27"/>
        <v>0</v>
      </c>
      <c r="D78" s="25">
        <f t="shared" si="27"/>
        <v>0</v>
      </c>
      <c r="E78" s="25">
        <f t="shared" si="27"/>
        <v>0</v>
      </c>
      <c r="F78" s="25">
        <f t="shared" si="27"/>
        <v>0</v>
      </c>
      <c r="G78" s="25">
        <f t="shared" si="27"/>
        <v>243832.47</v>
      </c>
      <c r="H78" s="25">
        <f t="shared" si="27"/>
        <v>243832.47</v>
      </c>
      <c r="I78" s="25">
        <f t="shared" si="27"/>
        <v>0</v>
      </c>
      <c r="J78" s="25">
        <f t="shared" si="27"/>
        <v>0</v>
      </c>
      <c r="K78" s="25">
        <f t="shared" si="27"/>
        <v>243832.47</v>
      </c>
      <c r="L78" s="27"/>
      <c r="M78" s="62">
        <f t="shared" si="24"/>
        <v>0</v>
      </c>
    </row>
    <row r="79" spans="1:16" x14ac:dyDescent="0.2">
      <c r="A79" s="139" t="s">
        <v>36</v>
      </c>
      <c r="B79" s="10">
        <v>0</v>
      </c>
      <c r="C79" s="10">
        <v>0</v>
      </c>
      <c r="D79" s="10"/>
      <c r="E79" s="10">
        <v>0</v>
      </c>
      <c r="F79" s="12">
        <v>0</v>
      </c>
      <c r="G79" s="10">
        <v>-10</v>
      </c>
      <c r="H79" s="10">
        <v>-10</v>
      </c>
      <c r="I79" s="10">
        <v>0</v>
      </c>
      <c r="J79" s="10">
        <v>0</v>
      </c>
      <c r="K79" s="10">
        <f t="shared" si="20"/>
        <v>-10</v>
      </c>
      <c r="L79" s="15"/>
      <c r="M79" s="62">
        <f t="shared" si="24"/>
        <v>0</v>
      </c>
    </row>
    <row r="80" spans="1:16" x14ac:dyDescent="0.2">
      <c r="A80" s="139" t="s">
        <v>20</v>
      </c>
      <c r="B80" s="10">
        <v>0</v>
      </c>
      <c r="C80" s="10">
        <v>0</v>
      </c>
      <c r="D80" s="10"/>
      <c r="E80" s="10">
        <v>0</v>
      </c>
      <c r="F80" s="12">
        <v>0</v>
      </c>
      <c r="G80" s="10">
        <v>219.47</v>
      </c>
      <c r="H80" s="10">
        <v>219.47</v>
      </c>
      <c r="I80" s="10">
        <v>0</v>
      </c>
      <c r="J80" s="10">
        <v>0</v>
      </c>
      <c r="K80" s="10">
        <f t="shared" si="20"/>
        <v>219.47</v>
      </c>
      <c r="L80" s="15"/>
      <c r="M80" s="62">
        <f t="shared" si="24"/>
        <v>0</v>
      </c>
    </row>
    <row r="81" spans="1:13" x14ac:dyDescent="0.2">
      <c r="A81" s="139" t="s">
        <v>24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1150.8900000000001</v>
      </c>
      <c r="H81" s="10">
        <v>42631.81</v>
      </c>
      <c r="I81" s="10">
        <v>412765.08</v>
      </c>
      <c r="J81" s="10">
        <v>454246</v>
      </c>
      <c r="K81" s="10">
        <f t="shared" si="20"/>
        <v>1150.890000000014</v>
      </c>
      <c r="L81" s="15"/>
      <c r="M81" s="62">
        <f t="shared" si="24"/>
        <v>1.3869794202037156E-11</v>
      </c>
    </row>
    <row r="82" spans="1:13" x14ac:dyDescent="0.2">
      <c r="A82" s="139" t="s">
        <v>25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719.87</v>
      </c>
      <c r="H82" s="10">
        <v>719.87</v>
      </c>
      <c r="I82" s="10">
        <v>0</v>
      </c>
      <c r="J82" s="10">
        <v>0</v>
      </c>
      <c r="K82" s="10">
        <f t="shared" si="20"/>
        <v>719.87</v>
      </c>
      <c r="L82" s="15"/>
      <c r="M82" s="62">
        <f t="shared" si="24"/>
        <v>0</v>
      </c>
    </row>
    <row r="83" spans="1:13" x14ac:dyDescent="0.2">
      <c r="A83" s="139" t="s">
        <v>27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267528.84000000003</v>
      </c>
      <c r="H83" s="10">
        <v>0</v>
      </c>
      <c r="I83" s="10">
        <v>267528.84000000003</v>
      </c>
      <c r="J83" s="10">
        <v>0</v>
      </c>
      <c r="K83" s="10">
        <f t="shared" si="20"/>
        <v>267528.84000000003</v>
      </c>
      <c r="L83" s="15"/>
      <c r="M83" s="62">
        <f t="shared" si="24"/>
        <v>0</v>
      </c>
    </row>
    <row r="84" spans="1:13" x14ac:dyDescent="0.2">
      <c r="A84" s="139" t="s">
        <v>29</v>
      </c>
      <c r="B84" s="10">
        <v>0</v>
      </c>
      <c r="C84" s="10">
        <v>0</v>
      </c>
      <c r="D84" s="10"/>
      <c r="E84" s="10">
        <v>0</v>
      </c>
      <c r="F84" s="12">
        <v>0</v>
      </c>
      <c r="G84" s="10">
        <v>236767.4</v>
      </c>
      <c r="H84" s="10">
        <v>243581.68</v>
      </c>
      <c r="I84" s="10">
        <v>0</v>
      </c>
      <c r="J84" s="10">
        <f>2827.74+3986.54</f>
        <v>6814.28</v>
      </c>
      <c r="K84" s="10">
        <f t="shared" si="20"/>
        <v>236767.4</v>
      </c>
      <c r="L84" s="15"/>
      <c r="M84" s="62">
        <f t="shared" si="24"/>
        <v>0</v>
      </c>
    </row>
    <row r="85" spans="1:13" x14ac:dyDescent="0.2">
      <c r="A85" s="20" t="s">
        <v>39</v>
      </c>
      <c r="B85" s="25">
        <f t="shared" ref="B85:K85" si="28">SUM(B79:B84)</f>
        <v>0</v>
      </c>
      <c r="C85" s="25">
        <f t="shared" si="28"/>
        <v>0</v>
      </c>
      <c r="D85" s="25">
        <f t="shared" si="28"/>
        <v>0</v>
      </c>
      <c r="E85" s="25">
        <f t="shared" si="28"/>
        <v>0</v>
      </c>
      <c r="F85" s="25">
        <f t="shared" si="28"/>
        <v>0</v>
      </c>
      <c r="G85" s="25">
        <f t="shared" si="28"/>
        <v>506376.47</v>
      </c>
      <c r="H85" s="25">
        <f t="shared" si="28"/>
        <v>287142.83</v>
      </c>
      <c r="I85" s="25">
        <f t="shared" si="28"/>
        <v>680293.92</v>
      </c>
      <c r="J85" s="25">
        <f t="shared" si="28"/>
        <v>461060.28</v>
      </c>
      <c r="K85" s="25">
        <f t="shared" si="28"/>
        <v>506376.47000000009</v>
      </c>
      <c r="L85" s="27"/>
      <c r="M85" s="62">
        <f t="shared" si="24"/>
        <v>0</v>
      </c>
    </row>
    <row r="86" spans="1:13" x14ac:dyDescent="0.25">
      <c r="A86" s="20" t="s">
        <v>44</v>
      </c>
      <c r="B86" s="25">
        <f t="shared" ref="B86:K86" si="29">+B57+B69+B71+B74+B78+B85</f>
        <v>104936112.92999999</v>
      </c>
      <c r="C86" s="25">
        <f t="shared" si="29"/>
        <v>31581441.700000003</v>
      </c>
      <c r="D86" s="25">
        <f t="shared" si="29"/>
        <v>191349.32</v>
      </c>
      <c r="E86" s="25">
        <f t="shared" si="29"/>
        <v>27923468.280000001</v>
      </c>
      <c r="F86" s="25">
        <f t="shared" si="29"/>
        <v>5.1248144041110253</v>
      </c>
      <c r="G86" s="25">
        <f t="shared" si="29"/>
        <v>4599549.5500000007</v>
      </c>
      <c r="H86" s="25">
        <f t="shared" si="29"/>
        <v>5442768.7199999997</v>
      </c>
      <c r="I86" s="25">
        <f t="shared" si="29"/>
        <v>2802781.26</v>
      </c>
      <c r="J86" s="25">
        <f t="shared" si="29"/>
        <v>3646485.2</v>
      </c>
      <c r="K86" s="25">
        <f t="shared" si="29"/>
        <v>4599064.78</v>
      </c>
      <c r="L86" s="27"/>
    </row>
    <row r="87" spans="1:13" x14ac:dyDescent="0.25">
      <c r="A87" s="28"/>
      <c r="B87" s="29"/>
      <c r="C87" s="29"/>
      <c r="D87" s="29"/>
      <c r="E87" s="28"/>
      <c r="F87" s="28"/>
      <c r="G87" s="28"/>
      <c r="H87" s="28"/>
      <c r="I87" s="28"/>
      <c r="J87" s="28"/>
      <c r="K87" s="28"/>
      <c r="L87" s="30"/>
    </row>
    <row r="88" spans="1:13" x14ac:dyDescent="0.25">
      <c r="A88" s="140"/>
      <c r="B88" s="19"/>
      <c r="C88" s="333" t="s">
        <v>45</v>
      </c>
      <c r="D88" s="333"/>
      <c r="E88" s="333"/>
      <c r="F88" s="333"/>
      <c r="G88" s="333"/>
      <c r="H88" s="333"/>
      <c r="I88" s="333"/>
      <c r="J88" s="19"/>
      <c r="K88" s="19"/>
      <c r="L88" s="19"/>
    </row>
    <row r="89" spans="1:13" x14ac:dyDescent="0.25">
      <c r="A89" s="140"/>
      <c r="B89" s="19"/>
      <c r="C89" s="300"/>
      <c r="D89" s="300"/>
      <c r="E89" s="300"/>
      <c r="F89" s="300"/>
      <c r="G89" s="300"/>
      <c r="H89" s="300"/>
      <c r="I89" s="300"/>
      <c r="J89" s="19"/>
      <c r="K89" s="19"/>
      <c r="L89" s="19"/>
    </row>
    <row r="90" spans="1:13" x14ac:dyDescent="0.25">
      <c r="A90" s="140"/>
      <c r="B90" s="347" t="s">
        <v>46</v>
      </c>
      <c r="C90" s="348"/>
      <c r="D90" s="326" t="s">
        <v>47</v>
      </c>
      <c r="E90" s="327"/>
      <c r="F90" s="328"/>
      <c r="G90" s="326" t="s">
        <v>48</v>
      </c>
      <c r="H90" s="328"/>
      <c r="I90" s="298" t="s">
        <v>10</v>
      </c>
      <c r="J90" s="19"/>
      <c r="K90" s="19"/>
      <c r="L90" s="19"/>
    </row>
    <row r="91" spans="1:13" x14ac:dyDescent="0.25">
      <c r="A91" s="140"/>
      <c r="B91" s="345" t="s">
        <v>49</v>
      </c>
      <c r="C91" s="346"/>
      <c r="D91" s="330">
        <v>9000000</v>
      </c>
      <c r="E91" s="331"/>
      <c r="F91" s="332">
        <v>0</v>
      </c>
      <c r="G91" s="330">
        <v>0</v>
      </c>
      <c r="H91" s="332"/>
      <c r="I91" s="33">
        <f>G91/D91</f>
        <v>0</v>
      </c>
      <c r="J91" s="19"/>
      <c r="K91" s="19"/>
      <c r="L91" s="19"/>
    </row>
    <row r="92" spans="1:13" x14ac:dyDescent="0.25">
      <c r="A92" s="140"/>
      <c r="B92" s="326"/>
      <c r="C92" s="328"/>
      <c r="D92" s="321"/>
      <c r="E92" s="322"/>
      <c r="F92" s="323"/>
      <c r="G92" s="343"/>
      <c r="H92" s="344"/>
      <c r="I92" s="299"/>
      <c r="J92" s="19"/>
      <c r="K92" s="19"/>
      <c r="L92" s="19"/>
    </row>
    <row r="93" spans="1:13" x14ac:dyDescent="0.25">
      <c r="A93" s="140"/>
      <c r="B93" s="326"/>
      <c r="C93" s="328"/>
      <c r="D93" s="321"/>
      <c r="E93" s="322"/>
      <c r="F93" s="323"/>
      <c r="G93" s="343"/>
      <c r="H93" s="344"/>
      <c r="I93" s="299"/>
      <c r="J93" s="19"/>
      <c r="K93" s="19"/>
      <c r="L93" s="19"/>
    </row>
    <row r="94" spans="1:13" x14ac:dyDescent="0.25">
      <c r="A94" s="140"/>
      <c r="B94" s="326"/>
      <c r="C94" s="328"/>
      <c r="D94" s="321"/>
      <c r="E94" s="322"/>
      <c r="F94" s="323"/>
      <c r="G94" s="343"/>
      <c r="H94" s="344"/>
      <c r="I94" s="299"/>
      <c r="J94" s="19"/>
      <c r="K94" s="19"/>
      <c r="L94" s="19"/>
    </row>
    <row r="95" spans="1:13" x14ac:dyDescent="0.25">
      <c r="A95" s="35" t="s">
        <v>50</v>
      </c>
      <c r="B95" s="36"/>
      <c r="C95" s="36"/>
      <c r="D95" s="36"/>
      <c r="E95" s="36"/>
      <c r="F95" s="36"/>
      <c r="G95" s="37"/>
      <c r="H95" s="37"/>
      <c r="I95" s="38"/>
      <c r="J95" s="19"/>
      <c r="K95" s="19"/>
      <c r="L95" s="19"/>
    </row>
    <row r="97" spans="3:10" x14ac:dyDescent="0.25">
      <c r="C97" s="342" t="s">
        <v>125</v>
      </c>
      <c r="D97" s="342"/>
      <c r="I97" s="342" t="s">
        <v>128</v>
      </c>
      <c r="J97" s="342"/>
    </row>
    <row r="100" spans="3:10" x14ac:dyDescent="0.25">
      <c r="C100" s="342" t="s">
        <v>126</v>
      </c>
      <c r="D100" s="342"/>
      <c r="I100" s="342" t="s">
        <v>129</v>
      </c>
      <c r="J100" s="342"/>
    </row>
    <row r="101" spans="3:10" x14ac:dyDescent="0.25">
      <c r="C101" s="342" t="s">
        <v>127</v>
      </c>
      <c r="D101" s="342"/>
      <c r="I101" s="342" t="s">
        <v>130</v>
      </c>
      <c r="J101" s="342"/>
    </row>
  </sheetData>
  <mergeCells count="39">
    <mergeCell ref="A1:L1"/>
    <mergeCell ref="A3:L3"/>
    <mergeCell ref="A6:L6"/>
    <mergeCell ref="A7:L7"/>
    <mergeCell ref="C8:G8"/>
    <mergeCell ref="H8:K8"/>
    <mergeCell ref="A9:A10"/>
    <mergeCell ref="B9:B10"/>
    <mergeCell ref="C9:C10"/>
    <mergeCell ref="D9:D10"/>
    <mergeCell ref="E9:E10"/>
    <mergeCell ref="J9:J10"/>
    <mergeCell ref="K9:K10"/>
    <mergeCell ref="B90:C90"/>
    <mergeCell ref="D90:F90"/>
    <mergeCell ref="G90:H90"/>
    <mergeCell ref="C88:I88"/>
    <mergeCell ref="F9:F10"/>
    <mergeCell ref="G9:G10"/>
    <mergeCell ref="H9:H10"/>
    <mergeCell ref="I9:I10"/>
    <mergeCell ref="B91:C91"/>
    <mergeCell ref="D91:F91"/>
    <mergeCell ref="G91:H91"/>
    <mergeCell ref="B92:C92"/>
    <mergeCell ref="D92:F92"/>
    <mergeCell ref="G92:H92"/>
    <mergeCell ref="B93:C93"/>
    <mergeCell ref="D93:F93"/>
    <mergeCell ref="G93:H93"/>
    <mergeCell ref="C101:D101"/>
    <mergeCell ref="I101:J101"/>
    <mergeCell ref="B94:C94"/>
    <mergeCell ref="D94:F94"/>
    <mergeCell ref="G94:H94"/>
    <mergeCell ref="C97:D97"/>
    <mergeCell ref="I97:J97"/>
    <mergeCell ref="C100:D100"/>
    <mergeCell ref="I100:J100"/>
  </mergeCells>
  <pageMargins left="0.7" right="0.7" top="0.75" bottom="0.75" header="0.3" footer="0.3"/>
  <pageSetup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101"/>
  <sheetViews>
    <sheetView workbookViewId="0">
      <pane xSplit="1" ySplit="10" topLeftCell="B98" activePane="bottomRight" state="frozen"/>
      <selection pane="topRight" activeCell="B1" sqref="B1"/>
      <selection pane="bottomLeft" activeCell="A11" sqref="A11"/>
      <selection pane="bottomRight" activeCell="I29" sqref="I29"/>
    </sheetView>
  </sheetViews>
  <sheetFormatPr baseColWidth="10" defaultColWidth="16.5703125" defaultRowHeight="18" x14ac:dyDescent="0.25"/>
  <cols>
    <col min="1" max="1" width="16.5703125" style="5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24.28515625" style="165" customWidth="1"/>
    <col min="14" max="14" width="16.5703125" style="186" customWidth="1"/>
    <col min="15" max="16" width="16.5703125" style="141"/>
    <col min="17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6" x14ac:dyDescent="0.25">
      <c r="A1" s="334" t="s">
        <v>146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6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334" t="s">
        <v>147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6" x14ac:dyDescent="0.25">
      <c r="A4" s="3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6" x14ac:dyDescent="0.25">
      <c r="A5" s="3" t="s">
        <v>55</v>
      </c>
      <c r="B5" s="5"/>
      <c r="C5" s="5"/>
      <c r="D5" s="5"/>
      <c r="E5" s="6"/>
      <c r="F5" s="6"/>
      <c r="G5" s="6"/>
      <c r="H5" s="195"/>
      <c r="I5" s="6"/>
    </row>
    <row r="6" spans="1:16" x14ac:dyDescent="0.25">
      <c r="A6" s="334" t="s">
        <v>146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6" x14ac:dyDescent="0.25">
      <c r="A7" s="334" t="s">
        <v>180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6" x14ac:dyDescent="0.25">
      <c r="C8" s="349" t="s">
        <v>3</v>
      </c>
      <c r="D8" s="350"/>
      <c r="E8" s="350"/>
      <c r="F8" s="350"/>
      <c r="G8" s="351"/>
      <c r="H8" s="349" t="s">
        <v>4</v>
      </c>
      <c r="I8" s="350"/>
      <c r="J8" s="350"/>
      <c r="K8" s="351"/>
    </row>
    <row r="9" spans="1:16" s="17" customFormat="1" x14ac:dyDescent="0.25">
      <c r="A9" s="337" t="s">
        <v>5</v>
      </c>
      <c r="B9" s="337" t="s">
        <v>6</v>
      </c>
      <c r="C9" s="337" t="s">
        <v>7</v>
      </c>
      <c r="D9" s="337" t="s">
        <v>8</v>
      </c>
      <c r="E9" s="337" t="s">
        <v>9</v>
      </c>
      <c r="F9" s="337" t="s">
        <v>10</v>
      </c>
      <c r="G9" s="337" t="s">
        <v>11</v>
      </c>
      <c r="H9" s="337" t="s">
        <v>12</v>
      </c>
      <c r="I9" s="337" t="s">
        <v>13</v>
      </c>
      <c r="J9" s="337" t="s">
        <v>14</v>
      </c>
      <c r="K9" s="337" t="s">
        <v>15</v>
      </c>
      <c r="L9" s="8" t="s">
        <v>16</v>
      </c>
      <c r="M9" s="166"/>
      <c r="N9" s="187"/>
      <c r="O9" s="142"/>
      <c r="P9" s="142"/>
    </row>
    <row r="10" spans="1:16" x14ac:dyDescent="0.25">
      <c r="A10" s="338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8" t="s">
        <v>17</v>
      </c>
      <c r="O10" s="151"/>
    </row>
    <row r="11" spans="1:16" s="17" customFormat="1" x14ac:dyDescent="0.25">
      <c r="A11" s="139" t="s">
        <v>18</v>
      </c>
      <c r="B11" s="14">
        <v>12913787.119999999</v>
      </c>
      <c r="C11" s="251">
        <f>8313650.72+492906.7</f>
        <v>8806557.4199999999</v>
      </c>
      <c r="D11" s="297">
        <v>2251.94</v>
      </c>
      <c r="E11" s="251">
        <v>8527148.2400000002</v>
      </c>
      <c r="F11" s="319">
        <f>+E11/C11</f>
        <v>0.96827259885168615</v>
      </c>
      <c r="G11" s="251">
        <f>+C11+D11-E11</f>
        <v>281661.11999999918</v>
      </c>
      <c r="H11" s="297">
        <f>44599.99+83578.13</f>
        <v>128178.12</v>
      </c>
      <c r="I11" s="251">
        <f>14652+159499</f>
        <v>174151</v>
      </c>
      <c r="J11" s="251">
        <f>4520+16148</f>
        <v>20668</v>
      </c>
      <c r="K11" s="251">
        <f>H11+I11-J11</f>
        <v>281661.12</v>
      </c>
      <c r="L11" s="308">
        <f>+F11</f>
        <v>0.96827259885168615</v>
      </c>
      <c r="M11" s="312">
        <f t="shared" ref="M11:M24" si="0">+K11-G11</f>
        <v>8.149072527885437E-10</v>
      </c>
      <c r="N11" s="278"/>
      <c r="O11" s="153"/>
      <c r="P11" s="142"/>
    </row>
    <row r="12" spans="1:16" x14ac:dyDescent="0.2">
      <c r="A12" s="139" t="s">
        <v>20</v>
      </c>
      <c r="B12" s="14">
        <v>32998147</v>
      </c>
      <c r="C12" s="297">
        <v>21348011.550000001</v>
      </c>
      <c r="D12" s="297">
        <v>5.97</v>
      </c>
      <c r="E12" s="251">
        <v>20838907.640000001</v>
      </c>
      <c r="F12" s="319">
        <f t="shared" ref="F12:F17" si="1">+E12/C12</f>
        <v>0.97615216251838688</v>
      </c>
      <c r="G12" s="251">
        <f>+C12+D12-E12</f>
        <v>509109.87999999896</v>
      </c>
      <c r="H12" s="297">
        <f>40000+436733.98</f>
        <v>476733.98</v>
      </c>
      <c r="I12" s="251">
        <f>171738+48750.9</f>
        <v>220488.9</v>
      </c>
      <c r="J12" s="251">
        <f>130592+57521</f>
        <v>188113</v>
      </c>
      <c r="K12" s="251">
        <f t="shared" ref="K12:K21" si="2">H12+I12-J12</f>
        <v>509109.88</v>
      </c>
      <c r="L12" s="265">
        <f t="shared" ref="L12:L23" si="3">+F12</f>
        <v>0.97615216251838688</v>
      </c>
      <c r="M12" s="312">
        <f t="shared" si="0"/>
        <v>1.0477378964424133E-9</v>
      </c>
      <c r="N12" s="279"/>
      <c r="O12" s="151"/>
    </row>
    <row r="13" spans="1:16" x14ac:dyDescent="0.2">
      <c r="A13" s="139" t="s">
        <v>21</v>
      </c>
      <c r="B13" s="14">
        <v>260781</v>
      </c>
      <c r="C13" s="297">
        <v>246963.78</v>
      </c>
      <c r="D13" s="297">
        <v>0</v>
      </c>
      <c r="E13" s="297">
        <v>194184</v>
      </c>
      <c r="F13" s="319">
        <f t="shared" si="1"/>
        <v>0.7862853411135835</v>
      </c>
      <c r="G13" s="251">
        <f t="shared" ref="G13:G24" si="4">+C13+D13-E13</f>
        <v>52779.78</v>
      </c>
      <c r="H13" s="297">
        <v>52779.78</v>
      </c>
      <c r="I13" s="251">
        <v>0</v>
      </c>
      <c r="J13" s="251">
        <v>0</v>
      </c>
      <c r="K13" s="251">
        <f t="shared" si="2"/>
        <v>52779.78</v>
      </c>
      <c r="L13" s="265">
        <f t="shared" si="3"/>
        <v>0.7862853411135835</v>
      </c>
      <c r="M13" s="312">
        <f t="shared" si="0"/>
        <v>0</v>
      </c>
      <c r="N13" s="280"/>
    </row>
    <row r="14" spans="1:16" x14ac:dyDescent="0.2">
      <c r="A14" s="139" t="s">
        <v>22</v>
      </c>
      <c r="B14" s="14">
        <v>710600</v>
      </c>
      <c r="C14" s="297">
        <v>795450.79</v>
      </c>
      <c r="D14" s="297">
        <v>0.03</v>
      </c>
      <c r="E14" s="297">
        <v>598212</v>
      </c>
      <c r="F14" s="319">
        <f t="shared" si="1"/>
        <v>0.75204149335246739</v>
      </c>
      <c r="G14" s="251">
        <f t="shared" si="4"/>
        <v>197238.82000000007</v>
      </c>
      <c r="H14" s="297">
        <v>197238.82</v>
      </c>
      <c r="I14" s="251">
        <v>0</v>
      </c>
      <c r="J14" s="251">
        <v>0</v>
      </c>
      <c r="K14" s="251">
        <f t="shared" si="2"/>
        <v>197238.82</v>
      </c>
      <c r="L14" s="265">
        <f t="shared" si="3"/>
        <v>0.75204149335246739</v>
      </c>
      <c r="M14" s="312">
        <f t="shared" si="0"/>
        <v>0</v>
      </c>
      <c r="N14" s="280"/>
    </row>
    <row r="15" spans="1:16" x14ac:dyDescent="0.2">
      <c r="A15" s="139" t="s">
        <v>23</v>
      </c>
      <c r="B15" s="14">
        <v>1328025</v>
      </c>
      <c r="C15" s="297">
        <v>977397.29</v>
      </c>
      <c r="D15" s="297">
        <v>0</v>
      </c>
      <c r="E15" s="297">
        <v>837844.32</v>
      </c>
      <c r="F15" s="319">
        <f t="shared" si="1"/>
        <v>0.85721981078953058</v>
      </c>
      <c r="G15" s="251">
        <f t="shared" si="4"/>
        <v>139552.97000000009</v>
      </c>
      <c r="H15" s="297">
        <v>139552.97</v>
      </c>
      <c r="I15" s="251">
        <v>0</v>
      </c>
      <c r="J15" s="251">
        <v>0</v>
      </c>
      <c r="K15" s="251">
        <f t="shared" si="2"/>
        <v>139552.97</v>
      </c>
      <c r="L15" s="265">
        <f t="shared" si="3"/>
        <v>0.85721981078953058</v>
      </c>
      <c r="M15" s="312">
        <f t="shared" si="0"/>
        <v>0</v>
      </c>
      <c r="N15" s="281"/>
    </row>
    <row r="16" spans="1:16" x14ac:dyDescent="0.2">
      <c r="A16" s="139" t="s">
        <v>24</v>
      </c>
      <c r="B16" s="14">
        <v>15442286</v>
      </c>
      <c r="C16" s="297">
        <v>11665327.25</v>
      </c>
      <c r="D16" s="297">
        <v>0.06</v>
      </c>
      <c r="E16" s="251">
        <v>11073023.59</v>
      </c>
      <c r="F16" s="319">
        <f t="shared" si="1"/>
        <v>0.94922528555724828</v>
      </c>
      <c r="G16" s="251">
        <f>+C16+D16-E16</f>
        <v>592303.72000000067</v>
      </c>
      <c r="H16" s="297">
        <v>767072.72</v>
      </c>
      <c r="I16" s="251">
        <v>0</v>
      </c>
      <c r="J16" s="251">
        <f>60980+113789</f>
        <v>174769</v>
      </c>
      <c r="K16" s="251">
        <f t="shared" si="2"/>
        <v>592303.72</v>
      </c>
      <c r="L16" s="265">
        <f t="shared" si="3"/>
        <v>0.94922528555724828</v>
      </c>
      <c r="M16" s="312">
        <f t="shared" si="0"/>
        <v>0</v>
      </c>
      <c r="N16" s="281"/>
      <c r="O16" s="151"/>
    </row>
    <row r="17" spans="1:18" x14ac:dyDescent="0.2">
      <c r="A17" s="139" t="s">
        <v>25</v>
      </c>
      <c r="B17" s="14">
        <v>977776</v>
      </c>
      <c r="C17" s="297">
        <v>800009.97</v>
      </c>
      <c r="D17" s="297">
        <v>0.03</v>
      </c>
      <c r="E17" s="251">
        <v>757762.21</v>
      </c>
      <c r="F17" s="319">
        <f t="shared" si="1"/>
        <v>0.94719095813268428</v>
      </c>
      <c r="G17" s="251">
        <f t="shared" si="4"/>
        <v>42247.790000000037</v>
      </c>
      <c r="H17" s="297">
        <v>53790.79</v>
      </c>
      <c r="I17" s="251">
        <v>0</v>
      </c>
      <c r="J17" s="251">
        <v>11543</v>
      </c>
      <c r="K17" s="251">
        <f t="shared" si="2"/>
        <v>42247.79</v>
      </c>
      <c r="L17" s="265">
        <f t="shared" si="3"/>
        <v>0.94719095813268428</v>
      </c>
      <c r="M17" s="312">
        <f t="shared" si="0"/>
        <v>0</v>
      </c>
      <c r="N17" s="281"/>
    </row>
    <row r="18" spans="1:18" x14ac:dyDescent="0.2">
      <c r="A18" s="139" t="s">
        <v>53</v>
      </c>
      <c r="B18" s="14">
        <v>887363.87</v>
      </c>
      <c r="C18" s="297">
        <v>46.93</v>
      </c>
      <c r="D18" s="297">
        <v>0</v>
      </c>
      <c r="E18" s="297">
        <v>0</v>
      </c>
      <c r="F18" s="319">
        <v>0</v>
      </c>
      <c r="G18" s="251">
        <f t="shared" si="4"/>
        <v>46.93</v>
      </c>
      <c r="H18" s="297">
        <v>5046.93</v>
      </c>
      <c r="I18" s="251">
        <v>0</v>
      </c>
      <c r="J18" s="251">
        <v>5000</v>
      </c>
      <c r="K18" s="251">
        <f t="shared" si="2"/>
        <v>46.930000000000291</v>
      </c>
      <c r="L18" s="265">
        <f t="shared" si="3"/>
        <v>0</v>
      </c>
      <c r="M18" s="312">
        <f t="shared" si="0"/>
        <v>2.9132252166164108E-13</v>
      </c>
      <c r="N18" s="281"/>
    </row>
    <row r="19" spans="1:18" x14ac:dyDescent="0.2">
      <c r="A19" s="139" t="s">
        <v>27</v>
      </c>
      <c r="B19" s="14">
        <f>+C19</f>
        <v>0</v>
      </c>
      <c r="C19" s="297">
        <v>0</v>
      </c>
      <c r="D19" s="297">
        <v>0</v>
      </c>
      <c r="E19" s="297">
        <v>0</v>
      </c>
      <c r="F19" s="319">
        <v>0</v>
      </c>
      <c r="G19" s="251">
        <f t="shared" si="4"/>
        <v>0</v>
      </c>
      <c r="H19" s="297">
        <v>0</v>
      </c>
      <c r="I19" s="251">
        <v>0</v>
      </c>
      <c r="J19" s="251">
        <v>0</v>
      </c>
      <c r="K19" s="251">
        <f t="shared" si="2"/>
        <v>0</v>
      </c>
      <c r="L19" s="265">
        <f t="shared" si="3"/>
        <v>0</v>
      </c>
      <c r="M19" s="312">
        <f t="shared" si="0"/>
        <v>0</v>
      </c>
      <c r="N19" s="282"/>
    </row>
    <row r="20" spans="1:18" x14ac:dyDescent="0.2">
      <c r="A20" s="139" t="s">
        <v>28</v>
      </c>
      <c r="B20" s="14">
        <v>53962</v>
      </c>
      <c r="C20" s="297">
        <v>40475.769999999997</v>
      </c>
      <c r="D20" s="297">
        <v>0</v>
      </c>
      <c r="E20" s="297">
        <v>21750</v>
      </c>
      <c r="F20" s="319">
        <v>0</v>
      </c>
      <c r="G20" s="251">
        <f t="shared" si="4"/>
        <v>18725.769999999997</v>
      </c>
      <c r="H20" s="297">
        <v>18725.77</v>
      </c>
      <c r="I20" s="251">
        <v>0</v>
      </c>
      <c r="J20" s="251">
        <v>0</v>
      </c>
      <c r="K20" s="251">
        <f t="shared" si="2"/>
        <v>18725.77</v>
      </c>
      <c r="L20" s="265">
        <f t="shared" si="3"/>
        <v>0</v>
      </c>
      <c r="M20" s="312">
        <f t="shared" si="0"/>
        <v>0</v>
      </c>
      <c r="N20" s="270"/>
    </row>
    <row r="21" spans="1:18" ht="27" x14ac:dyDescent="0.2">
      <c r="A21" s="139" t="s">
        <v>136</v>
      </c>
      <c r="B21" s="14">
        <v>4516388.1399999997</v>
      </c>
      <c r="C21" s="297">
        <v>4229301</v>
      </c>
      <c r="D21" s="297">
        <v>0.01</v>
      </c>
      <c r="E21" s="297">
        <v>4489288.1399999997</v>
      </c>
      <c r="F21" s="319">
        <v>0</v>
      </c>
      <c r="G21" s="251">
        <f t="shared" si="4"/>
        <v>-259987.12999999989</v>
      </c>
      <c r="H21" s="297">
        <v>12.87</v>
      </c>
      <c r="I21" s="251">
        <v>0</v>
      </c>
      <c r="J21" s="251">
        <v>260000</v>
      </c>
      <c r="K21" s="251">
        <f t="shared" si="2"/>
        <v>-259987.13</v>
      </c>
      <c r="L21" s="308">
        <f t="shared" si="3"/>
        <v>0</v>
      </c>
      <c r="M21" s="312">
        <f t="shared" si="0"/>
        <v>0</v>
      </c>
      <c r="N21" s="270"/>
    </row>
    <row r="22" spans="1:18" x14ac:dyDescent="0.2">
      <c r="A22" s="139" t="s">
        <v>29</v>
      </c>
      <c r="B22" s="14">
        <v>32555069</v>
      </c>
      <c r="C22" s="297">
        <v>29299569.600000001</v>
      </c>
      <c r="D22" s="297">
        <v>240334</v>
      </c>
      <c r="E22" s="297">
        <v>0</v>
      </c>
      <c r="F22" s="319">
        <f>+E22/C22</f>
        <v>0</v>
      </c>
      <c r="G22" s="251">
        <f t="shared" si="4"/>
        <v>29539903.600000001</v>
      </c>
      <c r="H22" s="297">
        <f>3261806.8+24684661.58</f>
        <v>27946468.379999999</v>
      </c>
      <c r="I22" s="251">
        <v>1593435.22</v>
      </c>
      <c r="J22" s="251">
        <v>0</v>
      </c>
      <c r="K22" s="251">
        <f>H22+I22-J22</f>
        <v>29539903.599999998</v>
      </c>
      <c r="L22" s="265">
        <f t="shared" si="3"/>
        <v>0</v>
      </c>
      <c r="M22" s="312">
        <f t="shared" si="0"/>
        <v>0</v>
      </c>
      <c r="N22" s="270"/>
    </row>
    <row r="23" spans="1:18" x14ac:dyDescent="0.2">
      <c r="A23" s="139" t="s">
        <v>30</v>
      </c>
      <c r="B23" s="14">
        <v>26159027</v>
      </c>
      <c r="C23" s="297">
        <v>19619288.219999999</v>
      </c>
      <c r="D23" s="297">
        <v>0</v>
      </c>
      <c r="E23" s="251">
        <v>17857653.850000001</v>
      </c>
      <c r="F23" s="319">
        <f>+E23/C23</f>
        <v>0.91020905803278951</v>
      </c>
      <c r="G23" s="251">
        <f t="shared" si="4"/>
        <v>1761634.3699999973</v>
      </c>
      <c r="H23" s="297">
        <v>1957686.93</v>
      </c>
      <c r="I23" s="251">
        <v>266876</v>
      </c>
      <c r="J23" s="251">
        <f>20007+442921.56</f>
        <v>462928.56</v>
      </c>
      <c r="K23" s="251">
        <f>H23+I23-J23</f>
        <v>1761634.3699999996</v>
      </c>
      <c r="L23" s="308">
        <f t="shared" si="3"/>
        <v>0.91020905803278951</v>
      </c>
      <c r="M23" s="312">
        <f t="shared" si="0"/>
        <v>2.3283064365386963E-9</v>
      </c>
      <c r="N23" s="314"/>
      <c r="Q23" s="141"/>
      <c r="R23" s="144"/>
    </row>
    <row r="24" spans="1:18" ht="40.5" x14ac:dyDescent="0.2">
      <c r="A24" s="139" t="s">
        <v>135</v>
      </c>
      <c r="B24" s="11">
        <v>179760</v>
      </c>
      <c r="C24" s="297">
        <v>179760</v>
      </c>
      <c r="D24" s="297">
        <v>127.5</v>
      </c>
      <c r="E24" s="251">
        <v>0</v>
      </c>
      <c r="F24" s="319">
        <f>+E24/C24</f>
        <v>0</v>
      </c>
      <c r="G24" s="251">
        <f t="shared" si="4"/>
        <v>179887.5</v>
      </c>
      <c r="H24" s="297">
        <v>189539.5</v>
      </c>
      <c r="I24" s="251">
        <v>0</v>
      </c>
      <c r="J24" s="251">
        <v>9652</v>
      </c>
      <c r="K24" s="251">
        <f>H24+I24-J24</f>
        <v>179887.5</v>
      </c>
      <c r="L24" s="308">
        <f>+F24</f>
        <v>0</v>
      </c>
      <c r="M24" s="312">
        <f t="shared" si="0"/>
        <v>0</v>
      </c>
      <c r="N24" s="284"/>
      <c r="Q24" s="141"/>
      <c r="R24" s="144"/>
    </row>
    <row r="25" spans="1:18" s="5" customFormat="1" x14ac:dyDescent="0.2">
      <c r="A25" s="248" t="s">
        <v>144</v>
      </c>
      <c r="B25" s="21">
        <f>SUM(B11:B24)</f>
        <v>128982972.13</v>
      </c>
      <c r="C25" s="21">
        <f t="shared" ref="C25:K25" si="5">SUM(C11:C24)</f>
        <v>98008159.569999993</v>
      </c>
      <c r="D25" s="21">
        <f t="shared" si="5"/>
        <v>242719.54</v>
      </c>
      <c r="E25" s="21">
        <f t="shared" si="5"/>
        <v>65195773.99000001</v>
      </c>
      <c r="F25" s="21">
        <f t="shared" si="5"/>
        <v>7.1465967083483761</v>
      </c>
      <c r="G25" s="21">
        <f t="shared" si="5"/>
        <v>33055105.119999997</v>
      </c>
      <c r="H25" s="21">
        <f t="shared" si="5"/>
        <v>31932827.559999999</v>
      </c>
      <c r="I25" s="21">
        <f t="shared" si="5"/>
        <v>2254951.12</v>
      </c>
      <c r="J25" s="21">
        <f t="shared" si="5"/>
        <v>1132673.56</v>
      </c>
      <c r="K25" s="21">
        <f t="shared" si="5"/>
        <v>33055105.119999997</v>
      </c>
      <c r="L25" s="252"/>
      <c r="M25" s="118">
        <f>SUM(M11:M23)</f>
        <v>4.191242908291315E-9</v>
      </c>
      <c r="N25" s="203"/>
      <c r="O25" s="143"/>
      <c r="P25" s="143"/>
    </row>
    <row r="26" spans="1:18" s="17" customFormat="1" x14ac:dyDescent="0.25">
      <c r="A26" s="139" t="s">
        <v>18</v>
      </c>
      <c r="B26" s="14">
        <f>10999097.88+238908.65</f>
        <v>11238006.530000001</v>
      </c>
      <c r="C26" s="14">
        <f>10999097.88+238908.65</f>
        <v>11238006.530000001</v>
      </c>
      <c r="D26" s="11">
        <v>0</v>
      </c>
      <c r="E26" s="310">
        <f>11056143.38+30827.66</f>
        <v>11086971.040000001</v>
      </c>
      <c r="F26" s="14">
        <f>+E26/C26</f>
        <v>0.98656029522702193</v>
      </c>
      <c r="G26" s="251">
        <f>+C26+D26-E26</f>
        <v>151035.49000000022</v>
      </c>
      <c r="H26" s="261">
        <v>337978.6</v>
      </c>
      <c r="I26" s="201">
        <f>127254.42+0</f>
        <v>127254.42</v>
      </c>
      <c r="J26" s="201">
        <f>-553+314750.53</f>
        <v>314197.53000000003</v>
      </c>
      <c r="K26" s="201">
        <f>H26+I26-J26</f>
        <v>151035.48999999993</v>
      </c>
      <c r="L26" s="265">
        <f>+F26</f>
        <v>0.98656029522702193</v>
      </c>
      <c r="M26" s="312">
        <f t="shared" ref="M26:M41" si="6">+K26-G26</f>
        <v>-2.9103830456733704E-10</v>
      </c>
      <c r="N26" s="278"/>
      <c r="O26" s="153"/>
      <c r="P26" s="142"/>
    </row>
    <row r="27" spans="1:18" x14ac:dyDescent="0.2">
      <c r="A27" s="139" t="s">
        <v>20</v>
      </c>
      <c r="B27" s="11">
        <v>32201284.170000002</v>
      </c>
      <c r="C27" s="11">
        <v>32201284.170000002</v>
      </c>
      <c r="D27" s="11">
        <v>0</v>
      </c>
      <c r="E27" s="310">
        <f>32201284.17+1128.9</f>
        <v>32202413.07</v>
      </c>
      <c r="F27" s="14">
        <f t="shared" ref="F27:F32" si="7">+E27/C27</f>
        <v>1.0000350576080768</v>
      </c>
      <c r="G27" s="251">
        <f t="shared" ref="G27:G41" si="8">+C27+D27-E27</f>
        <v>-1128.8999999985099</v>
      </c>
      <c r="H27" s="261">
        <v>221459.1</v>
      </c>
      <c r="I27" s="201">
        <f>529-800</f>
        <v>-271</v>
      </c>
      <c r="J27" s="201">
        <f>-65336+62764+224889</f>
        <v>222317</v>
      </c>
      <c r="K27" s="201">
        <f t="shared" ref="K27:K36" si="9">H27+I27-J27</f>
        <v>-1128.8999999999942</v>
      </c>
      <c r="L27" s="265">
        <f t="shared" ref="L27:L38" si="10">+F27</f>
        <v>1.0000350576080768</v>
      </c>
      <c r="M27" s="312">
        <f t="shared" si="6"/>
        <v>-1.4842953532934189E-9</v>
      </c>
      <c r="N27" s="279"/>
      <c r="O27" s="151"/>
    </row>
    <row r="28" spans="1:18" x14ac:dyDescent="0.2">
      <c r="A28" s="139" t="s">
        <v>21</v>
      </c>
      <c r="B28" s="11">
        <v>375916.69</v>
      </c>
      <c r="C28" s="11">
        <v>375916.69</v>
      </c>
      <c r="D28" s="11">
        <v>0</v>
      </c>
      <c r="E28" s="297">
        <v>364122.38</v>
      </c>
      <c r="F28" s="14">
        <f t="shared" si="7"/>
        <v>0.9686252025681541</v>
      </c>
      <c r="G28" s="251">
        <f t="shared" si="8"/>
        <v>11794.309999999998</v>
      </c>
      <c r="H28" s="11">
        <v>11794.31</v>
      </c>
      <c r="I28" s="14">
        <v>0</v>
      </c>
      <c r="J28" s="14">
        <v>0</v>
      </c>
      <c r="K28" s="14">
        <f t="shared" si="9"/>
        <v>11794.31</v>
      </c>
      <c r="L28" s="15">
        <f t="shared" si="10"/>
        <v>0.9686252025681541</v>
      </c>
      <c r="M28" s="236">
        <f t="shared" si="6"/>
        <v>0</v>
      </c>
      <c r="N28" s="280"/>
    </row>
    <row r="29" spans="1:18" x14ac:dyDescent="0.2">
      <c r="A29" s="139" t="s">
        <v>22</v>
      </c>
      <c r="B29" s="11">
        <v>553292.86</v>
      </c>
      <c r="C29" s="11">
        <v>553292.86</v>
      </c>
      <c r="D29" s="11">
        <v>0</v>
      </c>
      <c r="E29" s="297">
        <v>549193.92000000004</v>
      </c>
      <c r="F29" s="14">
        <f t="shared" si="7"/>
        <v>0.99259173523403155</v>
      </c>
      <c r="G29" s="251">
        <f t="shared" si="8"/>
        <v>4098.9399999999441</v>
      </c>
      <c r="H29" s="11">
        <v>4098.9399999999996</v>
      </c>
      <c r="I29" s="14">
        <v>0</v>
      </c>
      <c r="J29" s="14">
        <v>0</v>
      </c>
      <c r="K29" s="14">
        <f t="shared" si="9"/>
        <v>4098.9399999999996</v>
      </c>
      <c r="L29" s="15">
        <f t="shared" si="10"/>
        <v>0.99259173523403155</v>
      </c>
      <c r="M29" s="236">
        <f t="shared" si="6"/>
        <v>5.5479176808148623E-11</v>
      </c>
      <c r="N29" s="280"/>
    </row>
    <row r="30" spans="1:18" x14ac:dyDescent="0.2">
      <c r="A30" s="139" t="s">
        <v>23</v>
      </c>
      <c r="B30" s="11">
        <v>1287364.3999999999</v>
      </c>
      <c r="C30" s="11">
        <v>1287364.3999999999</v>
      </c>
      <c r="D30" s="11">
        <v>0.37</v>
      </c>
      <c r="E30" s="311">
        <f>1286941.03</f>
        <v>1286941.03</v>
      </c>
      <c r="F30" s="14">
        <f t="shared" si="7"/>
        <v>0.99967113429577525</v>
      </c>
      <c r="G30" s="251">
        <f t="shared" si="8"/>
        <v>423.73999999999069</v>
      </c>
      <c r="H30" s="261">
        <v>423.74</v>
      </c>
      <c r="I30" s="201">
        <v>0</v>
      </c>
      <c r="J30" s="201">
        <v>0</v>
      </c>
      <c r="K30" s="201">
        <f t="shared" si="9"/>
        <v>423.74</v>
      </c>
      <c r="L30" s="265">
        <f t="shared" si="10"/>
        <v>0.99967113429577525</v>
      </c>
      <c r="M30" s="312">
        <f t="shared" si="6"/>
        <v>9.3223206931725144E-12</v>
      </c>
      <c r="N30" s="281"/>
    </row>
    <row r="31" spans="1:18" x14ac:dyDescent="0.2">
      <c r="A31" s="139" t="s">
        <v>24</v>
      </c>
      <c r="B31" s="11">
        <v>15340178.58</v>
      </c>
      <c r="C31" s="11">
        <v>15340178.58</v>
      </c>
      <c r="D31" s="11">
        <v>0</v>
      </c>
      <c r="E31" s="310">
        <f>15320249.52+14870.06</f>
        <v>15335119.58</v>
      </c>
      <c r="F31" s="14">
        <f t="shared" si="7"/>
        <v>0.9996702124441631</v>
      </c>
      <c r="G31" s="251">
        <f t="shared" si="8"/>
        <v>5059</v>
      </c>
      <c r="H31" s="261">
        <v>13579</v>
      </c>
      <c r="I31" s="201">
        <v>0</v>
      </c>
      <c r="J31" s="201">
        <f>-8668+2000+15188</f>
        <v>8520</v>
      </c>
      <c r="K31" s="201">
        <f t="shared" si="9"/>
        <v>5059</v>
      </c>
      <c r="L31" s="265">
        <f t="shared" si="10"/>
        <v>0.9996702124441631</v>
      </c>
      <c r="M31" s="312">
        <f t="shared" si="6"/>
        <v>0</v>
      </c>
      <c r="N31" s="281"/>
      <c r="O31" s="151"/>
    </row>
    <row r="32" spans="1:18" x14ac:dyDescent="0.2">
      <c r="A32" s="139" t="s">
        <v>25</v>
      </c>
      <c r="B32" s="11">
        <v>1461552.81</v>
      </c>
      <c r="C32" s="11">
        <v>1461552.81</v>
      </c>
      <c r="D32" s="11">
        <v>0</v>
      </c>
      <c r="E32" s="310">
        <f>1315379.46-0.68</f>
        <v>1315378.78</v>
      </c>
      <c r="F32" s="14">
        <f t="shared" si="7"/>
        <v>0.89998717186278065</v>
      </c>
      <c r="G32" s="251">
        <f t="shared" si="8"/>
        <v>146174.03000000003</v>
      </c>
      <c r="H32" s="261">
        <v>146174.03</v>
      </c>
      <c r="I32" s="14">
        <v>0</v>
      </c>
      <c r="J32" s="14">
        <v>0</v>
      </c>
      <c r="K32" s="14">
        <f t="shared" si="9"/>
        <v>146174.03</v>
      </c>
      <c r="L32" s="15">
        <f t="shared" si="10"/>
        <v>0.89998717186278065</v>
      </c>
      <c r="M32" s="62">
        <f t="shared" si="6"/>
        <v>0</v>
      </c>
      <c r="N32" s="281"/>
    </row>
    <row r="33" spans="1:18" x14ac:dyDescent="0.2">
      <c r="A33" s="139" t="s">
        <v>53</v>
      </c>
      <c r="B33" s="11">
        <v>888239.11</v>
      </c>
      <c r="C33" s="11">
        <v>888239.11</v>
      </c>
      <c r="D33" s="11">
        <v>0</v>
      </c>
      <c r="E33" s="311">
        <f>651043.92+232052.2</f>
        <v>883096.12000000011</v>
      </c>
      <c r="F33" s="14">
        <v>0</v>
      </c>
      <c r="G33" s="251">
        <f t="shared" si="8"/>
        <v>5142.9899999998743</v>
      </c>
      <c r="H33" s="261">
        <v>5142.99</v>
      </c>
      <c r="I33" s="14">
        <v>0</v>
      </c>
      <c r="J33" s="14">
        <v>0</v>
      </c>
      <c r="K33" s="14">
        <f t="shared" si="9"/>
        <v>5142.99</v>
      </c>
      <c r="L33" s="15">
        <f t="shared" si="10"/>
        <v>0</v>
      </c>
      <c r="M33" s="236">
        <f t="shared" si="6"/>
        <v>1.255102688446641E-10</v>
      </c>
      <c r="N33" s="281"/>
    </row>
    <row r="34" spans="1:18" x14ac:dyDescent="0.2">
      <c r="A34" s="139" t="s">
        <v>27</v>
      </c>
      <c r="B34" s="11">
        <v>0</v>
      </c>
      <c r="C34" s="11">
        <v>0</v>
      </c>
      <c r="D34" s="11">
        <v>0</v>
      </c>
      <c r="E34" s="297">
        <v>0</v>
      </c>
      <c r="F34" s="14">
        <v>0</v>
      </c>
      <c r="G34" s="251">
        <f t="shared" si="8"/>
        <v>0</v>
      </c>
      <c r="H34" s="11">
        <v>0</v>
      </c>
      <c r="I34" s="14">
        <v>0</v>
      </c>
      <c r="J34" s="14">
        <v>0</v>
      </c>
      <c r="K34" s="14">
        <f t="shared" si="9"/>
        <v>0</v>
      </c>
      <c r="L34" s="15">
        <f t="shared" si="10"/>
        <v>0</v>
      </c>
      <c r="M34" s="236">
        <f t="shared" si="6"/>
        <v>0</v>
      </c>
      <c r="N34" s="281"/>
    </row>
    <row r="35" spans="1:18" x14ac:dyDescent="0.2">
      <c r="A35" s="139" t="s">
        <v>28</v>
      </c>
      <c r="B35" s="11">
        <v>60034.41</v>
      </c>
      <c r="C35" s="11">
        <v>60034.41</v>
      </c>
      <c r="D35" s="11">
        <v>0</v>
      </c>
      <c r="E35" s="311">
        <f>36692.13-0.01</f>
        <v>36692.119999999995</v>
      </c>
      <c r="F35" s="14">
        <v>0</v>
      </c>
      <c r="G35" s="251">
        <f t="shared" si="8"/>
        <v>23342.290000000008</v>
      </c>
      <c r="H35" s="261">
        <v>23342.29</v>
      </c>
      <c r="I35" s="14">
        <v>0</v>
      </c>
      <c r="J35" s="14">
        <v>0</v>
      </c>
      <c r="K35" s="14">
        <f t="shared" si="9"/>
        <v>23342.29</v>
      </c>
      <c r="L35" s="15">
        <f t="shared" si="10"/>
        <v>0</v>
      </c>
      <c r="M35" s="62">
        <f t="shared" si="6"/>
        <v>0</v>
      </c>
      <c r="N35" s="270"/>
    </row>
    <row r="36" spans="1:18" ht="27" x14ac:dyDescent="0.2">
      <c r="A36" s="139" t="s">
        <v>136</v>
      </c>
      <c r="B36" s="11">
        <v>2201262.25</v>
      </c>
      <c r="C36" s="11">
        <v>2201262.25</v>
      </c>
      <c r="D36" s="11">
        <v>818.27</v>
      </c>
      <c r="E36" s="313">
        <f>2193712.51+2795.53</f>
        <v>2196508.0399999996</v>
      </c>
      <c r="F36" s="14"/>
      <c r="G36" s="251">
        <f t="shared" si="8"/>
        <v>5572.480000000447</v>
      </c>
      <c r="H36" s="261">
        <v>5572.48</v>
      </c>
      <c r="I36" s="201">
        <v>0</v>
      </c>
      <c r="J36" s="201">
        <v>0</v>
      </c>
      <c r="K36" s="201">
        <f t="shared" si="9"/>
        <v>5572.48</v>
      </c>
      <c r="L36" s="265">
        <f t="shared" si="10"/>
        <v>0</v>
      </c>
      <c r="M36" s="312">
        <f t="shared" si="6"/>
        <v>-4.4747139327228069E-10</v>
      </c>
      <c r="N36" s="270"/>
    </row>
    <row r="37" spans="1:18" x14ac:dyDescent="0.2">
      <c r="A37" s="139" t="s">
        <v>29</v>
      </c>
      <c r="B37" s="11">
        <v>29358891.780000001</v>
      </c>
      <c r="C37" s="11">
        <v>29358891.780000001</v>
      </c>
      <c r="D37" s="11">
        <v>644200.78</v>
      </c>
      <c r="E37" s="297">
        <v>29358059.32</v>
      </c>
      <c r="F37" s="14">
        <f>+E37/C37</f>
        <v>0.99997164538749495</v>
      </c>
      <c r="G37" s="251">
        <f t="shared" si="8"/>
        <v>645033.24000000209</v>
      </c>
      <c r="H37" s="11">
        <f>27044389.8+0</f>
        <v>27044389.800000001</v>
      </c>
      <c r="I37" s="14">
        <v>2958702.76</v>
      </c>
      <c r="J37" s="14">
        <v>29358059.32</v>
      </c>
      <c r="K37" s="14">
        <f>H37+I37-J37</f>
        <v>645033.24000000209</v>
      </c>
      <c r="L37" s="15">
        <f t="shared" si="10"/>
        <v>0.99997164538749495</v>
      </c>
      <c r="M37" s="236">
        <f t="shared" si="6"/>
        <v>0</v>
      </c>
      <c r="N37" s="270"/>
    </row>
    <row r="38" spans="1:18" x14ac:dyDescent="0.2">
      <c r="A38" s="139" t="s">
        <v>30</v>
      </c>
      <c r="B38" s="11">
        <v>23067538.390000001</v>
      </c>
      <c r="C38" s="11">
        <v>23067538.390000001</v>
      </c>
      <c r="D38" s="11">
        <v>0</v>
      </c>
      <c r="E38" s="309">
        <f>23067538.39-13441.17</f>
        <v>23054097.219999999</v>
      </c>
      <c r="F38" s="14">
        <f>+E38/C38</f>
        <v>0.99941731233854458</v>
      </c>
      <c r="G38" s="251">
        <f t="shared" si="8"/>
        <v>13441.170000001788</v>
      </c>
      <c r="H38" s="261">
        <v>98762.19</v>
      </c>
      <c r="I38" s="201">
        <f>713.4+45970</f>
        <v>46683.4</v>
      </c>
      <c r="J38" s="201">
        <f>-250+132254.42</f>
        <v>132004.42000000001</v>
      </c>
      <c r="K38" s="201">
        <f>H38+I38-J38</f>
        <v>13441.169999999984</v>
      </c>
      <c r="L38" s="265">
        <f t="shared" si="10"/>
        <v>0.99941731233854458</v>
      </c>
      <c r="M38" s="312">
        <f t="shared" si="6"/>
        <v>-1.8044374883174896E-9</v>
      </c>
      <c r="N38" s="284" t="s">
        <v>52</v>
      </c>
      <c r="Q38" s="141"/>
      <c r="R38" s="144"/>
    </row>
    <row r="39" spans="1:18" x14ac:dyDescent="0.2">
      <c r="A39" s="139" t="s">
        <v>57</v>
      </c>
      <c r="B39" s="11">
        <v>1483495.05</v>
      </c>
      <c r="C39" s="11">
        <v>1483495.05</v>
      </c>
      <c r="D39" s="11">
        <v>4256.42</v>
      </c>
      <c r="E39" s="251">
        <v>1461506.21</v>
      </c>
      <c r="F39" s="14">
        <f>+E39/C39</f>
        <v>0.98517767888743535</v>
      </c>
      <c r="G39" s="251">
        <f t="shared" si="8"/>
        <v>26245.260000000009</v>
      </c>
      <c r="H39" s="11">
        <v>26245.26</v>
      </c>
      <c r="I39" s="14">
        <v>0</v>
      </c>
      <c r="J39" s="14">
        <v>0</v>
      </c>
      <c r="K39" s="14">
        <f>H39+I39-J39</f>
        <v>26245.26</v>
      </c>
      <c r="L39" s="15">
        <f>+F39</f>
        <v>0.98517767888743535</v>
      </c>
      <c r="M39" s="107">
        <f t="shared" si="6"/>
        <v>0</v>
      </c>
      <c r="N39" s="284"/>
      <c r="Q39" s="141"/>
      <c r="R39" s="144"/>
    </row>
    <row r="40" spans="1:18" x14ac:dyDescent="0.2">
      <c r="A40" s="139" t="s">
        <v>139</v>
      </c>
      <c r="B40" s="14">
        <v>1364024.1</v>
      </c>
      <c r="C40" s="14">
        <v>1364024.1</v>
      </c>
      <c r="D40" s="11">
        <f>940.83+935.1+658.75</f>
        <v>2534.6800000000003</v>
      </c>
      <c r="E40" s="251">
        <v>1364018.1</v>
      </c>
      <c r="F40" s="14">
        <f>+E40/C40</f>
        <v>0.99999560125074038</v>
      </c>
      <c r="G40" s="251">
        <f t="shared" si="8"/>
        <v>2540.6799999999348</v>
      </c>
      <c r="H40" s="11">
        <v>957353.35</v>
      </c>
      <c r="I40" s="14">
        <v>409205.43</v>
      </c>
      <c r="J40" s="14">
        <v>1364018.1</v>
      </c>
      <c r="K40" s="14">
        <f>H40+I40-J40</f>
        <v>2540.6799999999348</v>
      </c>
      <c r="L40" s="15">
        <f>+F40</f>
        <v>0.99999560125074038</v>
      </c>
      <c r="M40" s="107">
        <f t="shared" si="6"/>
        <v>0</v>
      </c>
      <c r="N40" s="284"/>
      <c r="Q40" s="141"/>
      <c r="R40" s="144"/>
    </row>
    <row r="41" spans="1:18" ht="40.5" x14ac:dyDescent="0.2">
      <c r="A41" s="139" t="s">
        <v>135</v>
      </c>
      <c r="B41" s="11">
        <v>200000</v>
      </c>
      <c r="C41" s="11">
        <v>199999.99</v>
      </c>
      <c r="D41" s="11">
        <f>113.52+264.05+123.8+26.23</f>
        <v>527.6</v>
      </c>
      <c r="E41" s="251">
        <f>199730.99+683.08</f>
        <v>200414.06999999998</v>
      </c>
      <c r="F41" s="14">
        <f>+E41/C41</f>
        <v>1.0020704001035199</v>
      </c>
      <c r="G41" s="251">
        <f t="shared" si="8"/>
        <v>113.52000000001863</v>
      </c>
      <c r="H41" s="297">
        <v>0</v>
      </c>
      <c r="I41" s="251">
        <v>77893.210000000006</v>
      </c>
      <c r="J41" s="251">
        <v>77779.69</v>
      </c>
      <c r="K41" s="251">
        <f>H41+I41-J41</f>
        <v>113.52000000000407</v>
      </c>
      <c r="L41" s="308">
        <f>+F41</f>
        <v>1.0020704001035199</v>
      </c>
      <c r="M41" s="312">
        <f t="shared" si="6"/>
        <v>-1.4551915228366852E-11</v>
      </c>
      <c r="N41" s="284"/>
      <c r="Q41" s="141"/>
      <c r="R41" s="144"/>
    </row>
    <row r="42" spans="1:18" s="5" customFormat="1" x14ac:dyDescent="0.2">
      <c r="A42" s="248" t="s">
        <v>60</v>
      </c>
      <c r="B42" s="21">
        <f t="shared" ref="B42:K42" si="11">SUM(B26:B41)</f>
        <v>121081081.13</v>
      </c>
      <c r="C42" s="21">
        <f t="shared" si="11"/>
        <v>121081081.11999999</v>
      </c>
      <c r="D42" s="21">
        <f t="shared" si="11"/>
        <v>652338.12000000011</v>
      </c>
      <c r="E42" s="21">
        <f t="shared" si="11"/>
        <v>120694530.99999999</v>
      </c>
      <c r="F42" s="249">
        <f t="shared" si="11"/>
        <v>11.833773447207738</v>
      </c>
      <c r="G42" s="249">
        <f t="shared" si="11"/>
        <v>1038888.2400000058</v>
      </c>
      <c r="H42" s="249">
        <f t="shared" si="11"/>
        <v>28896316.080000006</v>
      </c>
      <c r="I42" s="249">
        <f t="shared" si="11"/>
        <v>3619468.2199999997</v>
      </c>
      <c r="J42" s="249">
        <f t="shared" si="11"/>
        <v>31476896.060000006</v>
      </c>
      <c r="K42" s="249">
        <f t="shared" si="11"/>
        <v>1038888.2400000019</v>
      </c>
      <c r="L42" s="252"/>
      <c r="M42" s="118">
        <f>SUM(M26:M41)</f>
        <v>-3.8514826883329079E-9</v>
      </c>
      <c r="N42" s="203"/>
      <c r="O42" s="143"/>
      <c r="P42" s="143"/>
    </row>
    <row r="43" spans="1:18" s="17" customFormat="1" x14ac:dyDescent="0.25">
      <c r="A43" s="139" t="s">
        <v>18</v>
      </c>
      <c r="B43" s="10">
        <v>9668787.5</v>
      </c>
      <c r="C43" s="10">
        <f>+B43-8808992.11</f>
        <v>859795.3900000006</v>
      </c>
      <c r="D43" s="11">
        <v>0</v>
      </c>
      <c r="E43" s="10">
        <v>126202.22</v>
      </c>
      <c r="F43" s="12">
        <f>+E43/C43</f>
        <v>0.14678168953662327</v>
      </c>
      <c r="G43" s="109">
        <f t="shared" ref="G43:G56" si="12">+C43+D43-E43</f>
        <v>733593.17000000062</v>
      </c>
      <c r="H43" s="11">
        <v>760336.44</v>
      </c>
      <c r="I43" s="14">
        <f>35750.7+49054.32+10000+17400</f>
        <v>112205.01999999999</v>
      </c>
      <c r="J43" s="14">
        <f>42293+3275.91+3277.52+90101.86</f>
        <v>138948.29</v>
      </c>
      <c r="K43" s="14">
        <f>H43+I43-J43</f>
        <v>733593.16999999993</v>
      </c>
      <c r="L43" s="15">
        <f>+F43</f>
        <v>0.14678168953662327</v>
      </c>
      <c r="M43" s="62">
        <f t="shared" ref="M43:M56" si="13">+K43-G43</f>
        <v>0</v>
      </c>
      <c r="N43" s="271"/>
      <c r="O43" s="153"/>
      <c r="P43" s="142"/>
    </row>
    <row r="44" spans="1:18" x14ac:dyDescent="0.2">
      <c r="A44" s="262" t="s">
        <v>20</v>
      </c>
      <c r="B44" s="109">
        <v>27138333.23</v>
      </c>
      <c r="C44" s="109">
        <v>27138333.23</v>
      </c>
      <c r="D44" s="261">
        <v>0</v>
      </c>
      <c r="E44" s="109">
        <f>26415966.23+831927-8117.68</f>
        <v>27239775.550000001</v>
      </c>
      <c r="F44" s="263">
        <f t="shared" ref="F44:F49" si="14">+E44/C44</f>
        <v>1.003737971641083</v>
      </c>
      <c r="G44" s="109">
        <f t="shared" si="12"/>
        <v>-101442.3200000003</v>
      </c>
      <c r="H44" s="264">
        <v>391978.01</v>
      </c>
      <c r="I44" s="201">
        <v>37944</v>
      </c>
      <c r="J44" s="201">
        <f>326678+16708.93+21550.06+166427.34</f>
        <v>531364.32999999996</v>
      </c>
      <c r="K44" s="201">
        <f t="shared" ref="K44:K51" si="15">H44+I44-J44</f>
        <v>-101442.31999999995</v>
      </c>
      <c r="L44" s="265">
        <f t="shared" ref="L44:L56" si="16">+F44</f>
        <v>1.003737971641083</v>
      </c>
      <c r="M44" s="62">
        <f t="shared" si="13"/>
        <v>3.4924596548080444E-10</v>
      </c>
      <c r="N44" s="272"/>
      <c r="O44" s="151"/>
    </row>
    <row r="45" spans="1:18" x14ac:dyDescent="0.2">
      <c r="A45" s="139" t="s">
        <v>21</v>
      </c>
      <c r="B45" s="10">
        <v>321506.03999999998</v>
      </c>
      <c r="C45" s="10">
        <f>+B45-280892.37</f>
        <v>40613.669999999984</v>
      </c>
      <c r="D45" s="11">
        <v>0</v>
      </c>
      <c r="E45" s="11">
        <v>40613.67</v>
      </c>
      <c r="F45" s="12">
        <f t="shared" si="14"/>
        <v>1.0000000000000004</v>
      </c>
      <c r="G45" s="109">
        <f t="shared" si="12"/>
        <v>0</v>
      </c>
      <c r="H45" s="13">
        <v>0</v>
      </c>
      <c r="I45" s="14">
        <v>0</v>
      </c>
      <c r="J45" s="14">
        <v>0</v>
      </c>
      <c r="K45" s="14">
        <f t="shared" si="15"/>
        <v>0</v>
      </c>
      <c r="L45" s="15">
        <f t="shared" si="16"/>
        <v>1.0000000000000004</v>
      </c>
      <c r="M45" s="62">
        <f t="shared" si="13"/>
        <v>0</v>
      </c>
    </row>
    <row r="46" spans="1:18" x14ac:dyDescent="0.2">
      <c r="A46" s="139" t="s">
        <v>22</v>
      </c>
      <c r="B46" s="10">
        <v>570803.89</v>
      </c>
      <c r="C46" s="10">
        <f>+B46-491970.23</f>
        <v>78833.660000000033</v>
      </c>
      <c r="D46" s="11">
        <v>0</v>
      </c>
      <c r="E46" s="11">
        <v>78833.66</v>
      </c>
      <c r="F46" s="12">
        <f t="shared" si="14"/>
        <v>0.99999999999999967</v>
      </c>
      <c r="G46" s="109">
        <f t="shared" si="12"/>
        <v>0</v>
      </c>
      <c r="H46" s="13">
        <v>0</v>
      </c>
      <c r="I46" s="14">
        <v>0</v>
      </c>
      <c r="J46" s="14">
        <v>0</v>
      </c>
      <c r="K46" s="14">
        <f t="shared" si="15"/>
        <v>0</v>
      </c>
      <c r="L46" s="15">
        <f t="shared" si="16"/>
        <v>0.99999999999999967</v>
      </c>
      <c r="M46" s="62">
        <f t="shared" si="13"/>
        <v>0</v>
      </c>
    </row>
    <row r="47" spans="1:18" x14ac:dyDescent="0.2">
      <c r="A47" s="139" t="s">
        <v>23</v>
      </c>
      <c r="B47" s="10">
        <v>1307693.44</v>
      </c>
      <c r="C47" s="10">
        <f>+B47-1273287.15</f>
        <v>34406.290000000037</v>
      </c>
      <c r="D47" s="11">
        <v>0</v>
      </c>
      <c r="E47" s="11">
        <v>34406.29</v>
      </c>
      <c r="F47" s="12">
        <f t="shared" si="14"/>
        <v>0.99999999999999889</v>
      </c>
      <c r="G47" s="109">
        <f t="shared" si="12"/>
        <v>0</v>
      </c>
      <c r="H47" s="13">
        <v>0</v>
      </c>
      <c r="I47" s="14">
        <v>0</v>
      </c>
      <c r="J47" s="14">
        <v>0</v>
      </c>
      <c r="K47" s="14">
        <f t="shared" si="15"/>
        <v>0</v>
      </c>
      <c r="L47" s="15">
        <f t="shared" si="16"/>
        <v>0.99999999999999889</v>
      </c>
      <c r="M47" s="62">
        <f t="shared" si="13"/>
        <v>0</v>
      </c>
    </row>
    <row r="48" spans="1:18" x14ac:dyDescent="0.2">
      <c r="A48" s="139" t="s">
        <v>24</v>
      </c>
      <c r="B48" s="10">
        <v>14234360.859999999</v>
      </c>
      <c r="C48" s="10">
        <f>+B48-14197791.76</f>
        <v>36569.099999999627</v>
      </c>
      <c r="D48" s="11">
        <v>0</v>
      </c>
      <c r="E48" s="10">
        <v>208.8</v>
      </c>
      <c r="F48" s="12">
        <f t="shared" si="14"/>
        <v>5.7097385497592813E-3</v>
      </c>
      <c r="G48" s="109">
        <f t="shared" si="12"/>
        <v>36360.299999999625</v>
      </c>
      <c r="H48" s="13">
        <v>-340080.7</v>
      </c>
      <c r="I48" s="14">
        <v>782752</v>
      </c>
      <c r="J48" s="14">
        <f>280823+125488</f>
        <v>406311</v>
      </c>
      <c r="K48" s="14">
        <f t="shared" si="15"/>
        <v>36360.299999999988</v>
      </c>
      <c r="L48" s="15">
        <f t="shared" si="16"/>
        <v>5.7097385497592813E-3</v>
      </c>
      <c r="M48" s="62">
        <f t="shared" si="13"/>
        <v>3.637978807091713E-10</v>
      </c>
      <c r="O48" s="151"/>
    </row>
    <row r="49" spans="1:18" x14ac:dyDescent="0.2">
      <c r="A49" s="139" t="s">
        <v>25</v>
      </c>
      <c r="B49" s="10">
        <v>658261.61</v>
      </c>
      <c r="C49" s="10">
        <f>+B49-367499.68</f>
        <v>290761.93</v>
      </c>
      <c r="D49" s="11">
        <v>0</v>
      </c>
      <c r="E49" s="10">
        <v>281389.86</v>
      </c>
      <c r="F49" s="12">
        <f t="shared" si="14"/>
        <v>0.96776720391146109</v>
      </c>
      <c r="G49" s="109">
        <f t="shared" si="12"/>
        <v>9372.070000000007</v>
      </c>
      <c r="H49" s="13">
        <v>56340.94</v>
      </c>
      <c r="I49" s="14">
        <v>0</v>
      </c>
      <c r="J49" s="14">
        <v>46968.87</v>
      </c>
      <c r="K49" s="14">
        <f t="shared" si="15"/>
        <v>9372.07</v>
      </c>
      <c r="L49" s="15">
        <f t="shared" si="16"/>
        <v>0.96776720391146109</v>
      </c>
      <c r="M49" s="62">
        <f t="shared" si="13"/>
        <v>0</v>
      </c>
    </row>
    <row r="50" spans="1:18" x14ac:dyDescent="0.2">
      <c r="A50" s="139" t="s">
        <v>53</v>
      </c>
      <c r="B50" s="10">
        <v>158979.12</v>
      </c>
      <c r="C50" s="10">
        <f>+B50</f>
        <v>158979.12</v>
      </c>
      <c r="D50" s="11">
        <v>0</v>
      </c>
      <c r="E50" s="11">
        <v>120000</v>
      </c>
      <c r="F50" s="12">
        <v>0</v>
      </c>
      <c r="G50" s="201">
        <f t="shared" si="12"/>
        <v>38979.119999999995</v>
      </c>
      <c r="H50" s="11">
        <v>43979.12</v>
      </c>
      <c r="I50" s="14">
        <v>0</v>
      </c>
      <c r="J50" s="14">
        <v>5000</v>
      </c>
      <c r="K50" s="14">
        <f t="shared" si="15"/>
        <v>38979.120000000003</v>
      </c>
      <c r="L50" s="15">
        <f t="shared" si="16"/>
        <v>0</v>
      </c>
      <c r="M50" s="62">
        <f t="shared" si="13"/>
        <v>0</v>
      </c>
    </row>
    <row r="51" spans="1:18" x14ac:dyDescent="0.2">
      <c r="A51" s="139" t="s">
        <v>28</v>
      </c>
      <c r="B51" s="10">
        <v>47798.07</v>
      </c>
      <c r="C51" s="10">
        <f>+B51-23516.14</f>
        <v>24281.93</v>
      </c>
      <c r="D51" s="11">
        <v>0</v>
      </c>
      <c r="E51" s="11">
        <v>0</v>
      </c>
      <c r="F51" s="12">
        <v>0</v>
      </c>
      <c r="G51" s="201">
        <f t="shared" si="12"/>
        <v>24281.93</v>
      </c>
      <c r="H51" s="11">
        <v>24281.93</v>
      </c>
      <c r="I51" s="14">
        <v>0</v>
      </c>
      <c r="J51" s="14">
        <v>0</v>
      </c>
      <c r="K51" s="14">
        <f t="shared" si="15"/>
        <v>24281.93</v>
      </c>
      <c r="L51" s="15">
        <f t="shared" si="16"/>
        <v>0</v>
      </c>
      <c r="M51" s="62">
        <f t="shared" si="13"/>
        <v>0</v>
      </c>
      <c r="N51" s="270"/>
    </row>
    <row r="52" spans="1:18" x14ac:dyDescent="0.2">
      <c r="A52" s="139" t="s">
        <v>29</v>
      </c>
      <c r="B52" s="10">
        <v>27972730</v>
      </c>
      <c r="C52" s="10">
        <f>+B52-27809818.06</f>
        <v>162911.94000000134</v>
      </c>
      <c r="D52" s="11">
        <v>186451.15</v>
      </c>
      <c r="E52" s="11">
        <v>0</v>
      </c>
      <c r="F52" s="12">
        <f>+E52/C52</f>
        <v>0</v>
      </c>
      <c r="G52" s="109">
        <f t="shared" si="12"/>
        <v>349363.09000000136</v>
      </c>
      <c r="H52" s="13">
        <v>656033.13</v>
      </c>
      <c r="I52" s="14">
        <f>-1</f>
        <v>-1</v>
      </c>
      <c r="J52" s="14">
        <f>219666.96+67322.53+19679.55</f>
        <v>306669.03999999998</v>
      </c>
      <c r="K52" s="14">
        <f>H52+I52-J52</f>
        <v>349363.09</v>
      </c>
      <c r="L52" s="15">
        <f t="shared" si="16"/>
        <v>0</v>
      </c>
      <c r="M52" s="62">
        <f t="shared" si="13"/>
        <v>-1.3387762010097504E-9</v>
      </c>
      <c r="N52" s="272"/>
    </row>
    <row r="53" spans="1:18" x14ac:dyDescent="0.2">
      <c r="A53" s="139" t="s">
        <v>30</v>
      </c>
      <c r="B53" s="10">
        <v>21170988.52</v>
      </c>
      <c r="C53" s="10">
        <f>+B53-21163370.79</f>
        <v>7617.730000000447</v>
      </c>
      <c r="D53" s="11">
        <v>0</v>
      </c>
      <c r="E53" s="10">
        <v>0</v>
      </c>
      <c r="F53" s="12">
        <f>+E53/C53</f>
        <v>0</v>
      </c>
      <c r="G53" s="109">
        <f t="shared" si="12"/>
        <v>7617.730000000447</v>
      </c>
      <c r="H53" s="13">
        <v>113156.96</v>
      </c>
      <c r="I53" s="14">
        <f>63664.06+25043.71</f>
        <v>88707.76999999999</v>
      </c>
      <c r="J53" s="14">
        <f>170257+6000+17990</f>
        <v>194247</v>
      </c>
      <c r="K53" s="14">
        <f>H53+I53-J53</f>
        <v>7617.7299999999814</v>
      </c>
      <c r="L53" s="15">
        <f t="shared" si="16"/>
        <v>0</v>
      </c>
      <c r="M53" s="107">
        <f t="shared" si="13"/>
        <v>-4.6566128730773926E-10</v>
      </c>
      <c r="N53" s="273"/>
      <c r="Q53" s="141"/>
      <c r="R53" s="144"/>
    </row>
    <row r="54" spans="1:18" ht="27" x14ac:dyDescent="0.2">
      <c r="A54" s="139" t="s">
        <v>56</v>
      </c>
      <c r="B54" s="10">
        <v>1500000</v>
      </c>
      <c r="C54" s="10">
        <f>1500000-1499965.2</f>
        <v>34.800000000046566</v>
      </c>
      <c r="D54" s="11">
        <v>0</v>
      </c>
      <c r="E54" s="10">
        <v>0</v>
      </c>
      <c r="F54" s="12">
        <f>+E54/C54</f>
        <v>0</v>
      </c>
      <c r="G54" s="109">
        <f t="shared" si="12"/>
        <v>34.800000000046566</v>
      </c>
      <c r="H54" s="13">
        <v>34.799999999999997</v>
      </c>
      <c r="I54" s="14">
        <v>0</v>
      </c>
      <c r="J54" s="14">
        <v>0</v>
      </c>
      <c r="K54" s="14">
        <f>H54+I54-J54</f>
        <v>34.799999999999997</v>
      </c>
      <c r="L54" s="15">
        <f t="shared" si="16"/>
        <v>0</v>
      </c>
      <c r="M54" s="107">
        <f t="shared" si="13"/>
        <v>-4.6568970901716966E-11</v>
      </c>
      <c r="N54" s="273"/>
      <c r="Q54" s="141"/>
      <c r="R54" s="144"/>
    </row>
    <row r="55" spans="1:18" x14ac:dyDescent="0.2">
      <c r="A55" s="139" t="s">
        <v>58</v>
      </c>
      <c r="B55" s="10">
        <v>8800000</v>
      </c>
      <c r="C55" s="10">
        <f>+B55-8793327.97</f>
        <v>6672.0299999993294</v>
      </c>
      <c r="D55" s="11">
        <v>0</v>
      </c>
      <c r="E55" s="10">
        <v>0</v>
      </c>
      <c r="F55" s="12">
        <f>+E55/C55</f>
        <v>0</v>
      </c>
      <c r="G55" s="109">
        <f t="shared" si="12"/>
        <v>6672.0299999993294</v>
      </c>
      <c r="H55" s="13">
        <v>136749.53</v>
      </c>
      <c r="I55" s="14">
        <v>0</v>
      </c>
      <c r="J55" s="14">
        <f>75804.55+37902.27+11370.68+5000</f>
        <v>130077.5</v>
      </c>
      <c r="K55" s="14">
        <f>H55+I55-J55</f>
        <v>6672.0299999999988</v>
      </c>
      <c r="L55" s="15">
        <f t="shared" si="16"/>
        <v>0</v>
      </c>
      <c r="M55" s="107">
        <f t="shared" si="13"/>
        <v>6.6938810050487518E-10</v>
      </c>
      <c r="N55" s="273"/>
      <c r="Q55" s="141"/>
      <c r="R55" s="144"/>
    </row>
    <row r="56" spans="1:18" x14ac:dyDescent="0.2">
      <c r="A56" s="139" t="s">
        <v>57</v>
      </c>
      <c r="B56" s="10">
        <v>3362600</v>
      </c>
      <c r="C56" s="10">
        <f>+B56-3361389.36</f>
        <v>1210.6400000001304</v>
      </c>
      <c r="D56" s="11">
        <v>0</v>
      </c>
      <c r="E56" s="10">
        <v>0</v>
      </c>
      <c r="F56" s="12">
        <f>+E56/C56</f>
        <v>0</v>
      </c>
      <c r="G56" s="109">
        <f t="shared" si="12"/>
        <v>1210.6400000001304</v>
      </c>
      <c r="H56" s="13">
        <v>54023.49</v>
      </c>
      <c r="I56" s="14">
        <v>0</v>
      </c>
      <c r="J56" s="14">
        <f>28977.48+14488.74+4346.63+5000</f>
        <v>52812.85</v>
      </c>
      <c r="K56" s="14">
        <f>H56+I56-J56</f>
        <v>1210.6399999999994</v>
      </c>
      <c r="L56" s="15">
        <f t="shared" si="16"/>
        <v>0</v>
      </c>
      <c r="M56" s="107">
        <f t="shared" si="13"/>
        <v>-1.3096723705530167E-10</v>
      </c>
      <c r="N56" s="273"/>
      <c r="Q56" s="141"/>
      <c r="R56" s="144"/>
    </row>
    <row r="57" spans="1:18" s="5" customFormat="1" x14ac:dyDescent="0.2">
      <c r="A57" s="20" t="s">
        <v>51</v>
      </c>
      <c r="B57" s="21">
        <f t="shared" ref="B57:K57" si="17">SUM(B43:B53)</f>
        <v>103250242.27999999</v>
      </c>
      <c r="C57" s="21">
        <f t="shared" si="17"/>
        <v>28833103.990000006</v>
      </c>
      <c r="D57" s="21">
        <f t="shared" si="17"/>
        <v>186451.15</v>
      </c>
      <c r="E57" s="21">
        <f t="shared" si="17"/>
        <v>27921430.050000001</v>
      </c>
      <c r="F57" s="21">
        <f t="shared" si="17"/>
        <v>5.1239966036389255</v>
      </c>
      <c r="G57" s="21">
        <f t="shared" si="17"/>
        <v>1098125.0900000017</v>
      </c>
      <c r="H57" s="21">
        <f t="shared" si="17"/>
        <v>1706025.83</v>
      </c>
      <c r="I57" s="21">
        <f t="shared" si="17"/>
        <v>1021607.79</v>
      </c>
      <c r="J57" s="21">
        <f t="shared" si="17"/>
        <v>1629508.5300000003</v>
      </c>
      <c r="K57" s="21">
        <f t="shared" si="17"/>
        <v>1098125.0899999999</v>
      </c>
      <c r="L57" s="23"/>
      <c r="M57" s="61"/>
      <c r="N57" s="203"/>
      <c r="O57" s="143"/>
      <c r="P57" s="143"/>
    </row>
    <row r="58" spans="1:18" s="17" customFormat="1" x14ac:dyDescent="0.25">
      <c r="A58" s="139" t="s">
        <v>18</v>
      </c>
      <c r="B58" s="10">
        <f>+C58</f>
        <v>557287.6400000006</v>
      </c>
      <c r="C58" s="10">
        <f>9497181.34-8522902.7-416991</f>
        <v>557287.6400000006</v>
      </c>
      <c r="D58" s="11">
        <v>0</v>
      </c>
      <c r="E58" s="10">
        <v>2038.23</v>
      </c>
      <c r="F58" s="12">
        <f>+E58/C58</f>
        <v>3.657411099230548E-3</v>
      </c>
      <c r="G58" s="10">
        <f>+C58+D58-E58</f>
        <v>555249.41000000061</v>
      </c>
      <c r="H58" s="13">
        <f>362224.72-0.47</f>
        <v>362224.25</v>
      </c>
      <c r="I58" s="14">
        <f>22013.2+172259.48</f>
        <v>194272.68000000002</v>
      </c>
      <c r="J58" s="14">
        <f>-4302.52+5550.04</f>
        <v>1247.5199999999995</v>
      </c>
      <c r="K58" s="14">
        <f>H58+I58-J58</f>
        <v>555249.41</v>
      </c>
      <c r="L58" s="15">
        <f>+F58</f>
        <v>3.657411099230548E-3</v>
      </c>
      <c r="M58" s="155">
        <f t="shared" ref="M58:M67" si="18">+K58-G58</f>
        <v>0</v>
      </c>
      <c r="N58" s="187"/>
      <c r="O58" s="142"/>
      <c r="P58" s="142"/>
    </row>
    <row r="59" spans="1:18" x14ac:dyDescent="0.2">
      <c r="A59" s="139" t="s">
        <v>20</v>
      </c>
      <c r="B59" s="10">
        <v>0</v>
      </c>
      <c r="C59" s="10">
        <f>981063.54-174602.54</f>
        <v>806461</v>
      </c>
      <c r="D59" s="11">
        <v>0</v>
      </c>
      <c r="E59" s="10">
        <v>0</v>
      </c>
      <c r="F59" s="12">
        <f t="shared" ref="F59:F68" si="19">+E59/C59</f>
        <v>0</v>
      </c>
      <c r="G59" s="10">
        <f>+C59+D59-E59</f>
        <v>806461</v>
      </c>
      <c r="H59" s="13">
        <v>1795340.56</v>
      </c>
      <c r="I59" s="14">
        <v>1162</v>
      </c>
      <c r="J59" s="14">
        <f>272555.03+160187.53+557299</f>
        <v>990041.56</v>
      </c>
      <c r="K59" s="14">
        <f t="shared" ref="K59:K84" si="20">H59+I59-J59</f>
        <v>806461</v>
      </c>
      <c r="L59" s="15">
        <f t="shared" ref="L59:L68" si="21">+F59</f>
        <v>0</v>
      </c>
      <c r="M59" s="62">
        <f>+K59-G59</f>
        <v>0</v>
      </c>
      <c r="N59" s="272"/>
    </row>
    <row r="60" spans="1:18" x14ac:dyDescent="0.2">
      <c r="A60" s="139" t="s">
        <v>21</v>
      </c>
      <c r="B60" s="10">
        <f t="shared" ref="B60:B68" si="22">+C60</f>
        <v>465.82999999998719</v>
      </c>
      <c r="C60" s="10">
        <f>266576.99-80893-185218.16</f>
        <v>465.82999999998719</v>
      </c>
      <c r="D60" s="11">
        <v>0</v>
      </c>
      <c r="E60" s="10">
        <v>0</v>
      </c>
      <c r="F60" s="12">
        <f t="shared" si="19"/>
        <v>0</v>
      </c>
      <c r="G60" s="10">
        <f>+C60+D60-E60</f>
        <v>465.82999999998719</v>
      </c>
      <c r="H60" s="13">
        <v>465.83</v>
      </c>
      <c r="I60" s="14">
        <v>0</v>
      </c>
      <c r="J60" s="14">
        <v>0</v>
      </c>
      <c r="K60" s="14">
        <f t="shared" si="20"/>
        <v>465.83</v>
      </c>
      <c r="L60" s="15">
        <f t="shared" si="21"/>
        <v>0</v>
      </c>
      <c r="M60" s="155">
        <f t="shared" si="18"/>
        <v>1.2789769243681803E-11</v>
      </c>
    </row>
    <row r="61" spans="1:18" x14ac:dyDescent="0.2">
      <c r="A61" s="139" t="s">
        <v>22</v>
      </c>
      <c r="B61" s="10">
        <f t="shared" si="22"/>
        <v>6067.4599999999627</v>
      </c>
      <c r="C61" s="10">
        <f>375412.66-201977-167368.2</f>
        <v>6067.4599999999627</v>
      </c>
      <c r="D61" s="10">
        <v>149.51</v>
      </c>
      <c r="E61" s="10">
        <v>0</v>
      </c>
      <c r="F61" s="12">
        <f t="shared" si="19"/>
        <v>0</v>
      </c>
      <c r="G61" s="10">
        <f t="shared" ref="G61:G66" si="23">+C61+D61-E61</f>
        <v>6216.969999999963</v>
      </c>
      <c r="H61" s="13">
        <v>6216.97</v>
      </c>
      <c r="I61" s="14">
        <v>0</v>
      </c>
      <c r="J61" s="14">
        <v>0</v>
      </c>
      <c r="K61" s="14">
        <f t="shared" si="20"/>
        <v>6216.97</v>
      </c>
      <c r="L61" s="15">
        <f t="shared" si="21"/>
        <v>0</v>
      </c>
      <c r="M61" s="62">
        <f t="shared" si="18"/>
        <v>3.7289282772690058E-11</v>
      </c>
    </row>
    <row r="62" spans="1:18" x14ac:dyDescent="0.2">
      <c r="A62" s="139" t="s">
        <v>23</v>
      </c>
      <c r="B62" s="10">
        <f t="shared" si="22"/>
        <v>17016.04999999993</v>
      </c>
      <c r="C62" s="10">
        <f>1302246.39-788192.61-497037.73</f>
        <v>17016.04999999993</v>
      </c>
      <c r="D62" s="10">
        <v>408.58</v>
      </c>
      <c r="E62" s="10">
        <v>0</v>
      </c>
      <c r="F62" s="12">
        <f t="shared" si="19"/>
        <v>0</v>
      </c>
      <c r="G62" s="10">
        <f t="shared" si="23"/>
        <v>17424.629999999932</v>
      </c>
      <c r="H62" s="13">
        <v>17424.63</v>
      </c>
      <c r="I62" s="14">
        <v>0</v>
      </c>
      <c r="J62" s="14">
        <v>0</v>
      </c>
      <c r="K62" s="14">
        <f t="shared" si="20"/>
        <v>17424.63</v>
      </c>
      <c r="L62" s="15">
        <f t="shared" si="21"/>
        <v>0</v>
      </c>
      <c r="M62" s="155">
        <f t="shared" si="18"/>
        <v>6.9121597334742546E-11</v>
      </c>
    </row>
    <row r="63" spans="1:18" x14ac:dyDescent="0.2">
      <c r="A63" s="139" t="s">
        <v>24</v>
      </c>
      <c r="B63" s="10">
        <f t="shared" si="22"/>
        <v>412246.5499999997</v>
      </c>
      <c r="C63" s="10">
        <f>13636634.35-13212786.17-11601.63</f>
        <v>412246.5499999997</v>
      </c>
      <c r="D63" s="11">
        <v>-459</v>
      </c>
      <c r="E63" s="10">
        <v>0</v>
      </c>
      <c r="F63" s="12">
        <f t="shared" si="19"/>
        <v>0</v>
      </c>
      <c r="G63" s="10">
        <f>+C63+D63-E63</f>
        <v>411787.5499999997</v>
      </c>
      <c r="H63" s="13">
        <v>37530.339999999997</v>
      </c>
      <c r="I63" s="14">
        <v>456237</v>
      </c>
      <c r="J63" s="14">
        <f>52394.42+7312.79+22272.58</f>
        <v>81979.790000000008</v>
      </c>
      <c r="K63" s="14">
        <f t="shared" si="20"/>
        <v>411787.54999999993</v>
      </c>
      <c r="L63" s="15">
        <f t="shared" si="21"/>
        <v>0</v>
      </c>
      <c r="M63" s="62">
        <f t="shared" si="18"/>
        <v>0</v>
      </c>
    </row>
    <row r="64" spans="1:18" x14ac:dyDescent="0.2">
      <c r="A64" s="139" t="s">
        <v>25</v>
      </c>
      <c r="B64" s="10">
        <f t="shared" si="22"/>
        <v>5151.3900000000722</v>
      </c>
      <c r="C64" s="10">
        <f>868753.03-542712.97-320888.67</f>
        <v>5151.3900000000722</v>
      </c>
      <c r="D64" s="10">
        <v>131.31</v>
      </c>
      <c r="E64" s="10">
        <v>0</v>
      </c>
      <c r="F64" s="12">
        <f t="shared" si="19"/>
        <v>0</v>
      </c>
      <c r="G64" s="10">
        <f t="shared" si="23"/>
        <v>5282.7000000000726</v>
      </c>
      <c r="H64" s="13">
        <v>5282.7</v>
      </c>
      <c r="I64" s="14">
        <v>0</v>
      </c>
      <c r="J64" s="14">
        <v>0</v>
      </c>
      <c r="K64" s="14">
        <f t="shared" si="20"/>
        <v>5282.7</v>
      </c>
      <c r="L64" s="15">
        <f t="shared" si="21"/>
        <v>0</v>
      </c>
      <c r="M64" s="155">
        <f t="shared" si="18"/>
        <v>-7.2759576141834259E-11</v>
      </c>
    </row>
    <row r="65" spans="1:16" x14ac:dyDescent="0.2">
      <c r="A65" s="139" t="s">
        <v>27</v>
      </c>
      <c r="B65" s="10">
        <f t="shared" si="22"/>
        <v>3767.3699999999953</v>
      </c>
      <c r="C65" s="10">
        <f>573447.69-569680.32</f>
        <v>3767.3699999999953</v>
      </c>
      <c r="D65" s="11">
        <v>0</v>
      </c>
      <c r="E65" s="10">
        <v>0</v>
      </c>
      <c r="F65" s="12">
        <f t="shared" si="19"/>
        <v>0</v>
      </c>
      <c r="G65" s="10">
        <f t="shared" si="23"/>
        <v>3767.3699999999953</v>
      </c>
      <c r="H65" s="13">
        <v>3767.37</v>
      </c>
      <c r="I65" s="14">
        <v>0</v>
      </c>
      <c r="J65" s="14">
        <v>0</v>
      </c>
      <c r="K65" s="14">
        <f t="shared" si="20"/>
        <v>3767.37</v>
      </c>
      <c r="L65" s="15">
        <f t="shared" si="21"/>
        <v>0</v>
      </c>
      <c r="M65" s="62">
        <f t="shared" si="18"/>
        <v>4.5474735088646412E-12</v>
      </c>
    </row>
    <row r="66" spans="1:16" x14ac:dyDescent="0.2">
      <c r="A66" s="139" t="s">
        <v>28</v>
      </c>
      <c r="B66" s="10">
        <f t="shared" si="22"/>
        <v>542.31999999999971</v>
      </c>
      <c r="C66" s="10">
        <f>36484.65-0-35942.33</f>
        <v>542.31999999999971</v>
      </c>
      <c r="D66" s="11">
        <v>0</v>
      </c>
      <c r="E66" s="10">
        <v>0</v>
      </c>
      <c r="F66" s="12">
        <f t="shared" si="19"/>
        <v>0</v>
      </c>
      <c r="G66" s="10">
        <f t="shared" si="23"/>
        <v>542.31999999999971</v>
      </c>
      <c r="H66" s="13">
        <v>542.32000000000005</v>
      </c>
      <c r="I66" s="14">
        <v>0</v>
      </c>
      <c r="J66" s="14">
        <v>0</v>
      </c>
      <c r="K66" s="14">
        <f t="shared" si="20"/>
        <v>542.32000000000005</v>
      </c>
      <c r="L66" s="15">
        <f t="shared" si="21"/>
        <v>0</v>
      </c>
      <c r="M66" s="155">
        <f t="shared" si="18"/>
        <v>0</v>
      </c>
    </row>
    <row r="67" spans="1:16" x14ac:dyDescent="0.2">
      <c r="A67" s="139" t="s">
        <v>29</v>
      </c>
      <c r="B67" s="10">
        <f>+C67</f>
        <v>489577.01999999862</v>
      </c>
      <c r="C67" s="10">
        <f>25804148.7-21535015.98-3779555.7</f>
        <v>489577.01999999862</v>
      </c>
      <c r="D67" s="45"/>
      <c r="E67" s="10">
        <v>0</v>
      </c>
      <c r="F67" s="12">
        <f t="shared" si="19"/>
        <v>0</v>
      </c>
      <c r="G67" s="10">
        <f>+C67+D67-E67</f>
        <v>489577.01999999862</v>
      </c>
      <c r="H67" s="13">
        <f>2255525.44-1688966.46</f>
        <v>566558.98</v>
      </c>
      <c r="I67" s="14">
        <v>122706.07</v>
      </c>
      <c r="J67" s="14">
        <f>20016.25+99956.62+61086.68+18628.48</f>
        <v>199688.03</v>
      </c>
      <c r="K67" s="14">
        <f>H67+I67-J67</f>
        <v>489577.02</v>
      </c>
      <c r="L67" s="15">
        <f t="shared" si="21"/>
        <v>0</v>
      </c>
      <c r="M67" s="62">
        <f t="shared" si="18"/>
        <v>1.3969838619232178E-9</v>
      </c>
      <c r="N67" s="272"/>
    </row>
    <row r="68" spans="1:16" x14ac:dyDescent="0.2">
      <c r="A68" s="139" t="s">
        <v>30</v>
      </c>
      <c r="B68" s="10">
        <f t="shared" si="22"/>
        <v>193749.02000000025</v>
      </c>
      <c r="C68" s="10">
        <f>19272341-17976826.68-1101765.3</f>
        <v>193749.02000000025</v>
      </c>
      <c r="D68" s="10">
        <v>4227.0200000000004</v>
      </c>
      <c r="E68" s="10">
        <v>0</v>
      </c>
      <c r="F68" s="12">
        <f t="shared" si="19"/>
        <v>0</v>
      </c>
      <c r="G68" s="10">
        <f>+C68+D68-E68</f>
        <v>197976.04000000024</v>
      </c>
      <c r="H68" s="13">
        <v>171700.75</v>
      </c>
      <c r="I68" s="14">
        <v>296402</v>
      </c>
      <c r="J68" s="14">
        <f>26299+244312.48</f>
        <v>270611.48</v>
      </c>
      <c r="K68" s="14">
        <f>H68+I68-J68</f>
        <v>197491.27000000002</v>
      </c>
      <c r="L68" s="15">
        <f t="shared" si="21"/>
        <v>0</v>
      </c>
      <c r="M68" s="155">
        <f>+K68-G68</f>
        <v>-484.77000000022235</v>
      </c>
      <c r="N68" s="273"/>
    </row>
    <row r="69" spans="1:16" s="5" customFormat="1" x14ac:dyDescent="0.2">
      <c r="A69" s="20" t="s">
        <v>33</v>
      </c>
      <c r="B69" s="21">
        <f>SUM(B58:B68)</f>
        <v>1685870.649999999</v>
      </c>
      <c r="C69" s="21">
        <f>SUM(C58:C68)</f>
        <v>2492331.6499999994</v>
      </c>
      <c r="D69" s="21">
        <f>SUM(D58:D68)</f>
        <v>4457.42</v>
      </c>
      <c r="E69" s="21">
        <f>SUM(E58:E68)</f>
        <v>2038.23</v>
      </c>
      <c r="F69" s="22">
        <f>+E69/C69</f>
        <v>8.178004721000917E-4</v>
      </c>
      <c r="G69" s="21">
        <f>SUM(G58:G68)</f>
        <v>2494750.8399999989</v>
      </c>
      <c r="H69" s="21">
        <f>SUM(H58:H68)</f>
        <v>2967054.7</v>
      </c>
      <c r="I69" s="21">
        <f>SUM(I58:I68)</f>
        <v>1070779.75</v>
      </c>
      <c r="J69" s="21">
        <f>SUM(J58:J68)</f>
        <v>1543568.3800000001</v>
      </c>
      <c r="K69" s="21">
        <f>SUM(K58:K68)</f>
        <v>2494266.0700000003</v>
      </c>
      <c r="L69" s="23"/>
      <c r="M69" s="62">
        <f t="shared" ref="M69:M85" si="24">+K69-G69</f>
        <v>-484.76999999862164</v>
      </c>
      <c r="N69" s="203"/>
      <c r="O69" s="143"/>
      <c r="P69" s="143"/>
    </row>
    <row r="70" spans="1:16" x14ac:dyDescent="0.2">
      <c r="A70" s="139" t="s">
        <v>34</v>
      </c>
      <c r="B70" s="10">
        <v>0</v>
      </c>
      <c r="C70" s="10">
        <v>256006.06</v>
      </c>
      <c r="D70" s="13">
        <v>440.75</v>
      </c>
      <c r="E70" s="10">
        <v>0</v>
      </c>
      <c r="F70" s="12">
        <v>0</v>
      </c>
      <c r="G70" s="10">
        <f>+C70+D70-E70</f>
        <v>256446.81</v>
      </c>
      <c r="H70" s="10">
        <v>238695.02</v>
      </c>
      <c r="I70" s="10">
        <v>30099.8</v>
      </c>
      <c r="J70" s="10">
        <v>12348.01</v>
      </c>
      <c r="K70" s="10">
        <f t="shared" si="20"/>
        <v>256446.81</v>
      </c>
      <c r="L70" s="15"/>
      <c r="M70" s="62">
        <f t="shared" si="24"/>
        <v>0</v>
      </c>
    </row>
    <row r="71" spans="1:16" x14ac:dyDescent="0.2">
      <c r="A71" s="20" t="s">
        <v>35</v>
      </c>
      <c r="B71" s="25">
        <f t="shared" ref="B71:K71" si="25">SUM(B70:B70)</f>
        <v>0</v>
      </c>
      <c r="C71" s="25">
        <f t="shared" si="25"/>
        <v>256006.06</v>
      </c>
      <c r="D71" s="25">
        <f t="shared" si="25"/>
        <v>440.75</v>
      </c>
      <c r="E71" s="25">
        <f t="shared" si="25"/>
        <v>0</v>
      </c>
      <c r="F71" s="25">
        <f t="shared" si="25"/>
        <v>0</v>
      </c>
      <c r="G71" s="25">
        <f t="shared" si="25"/>
        <v>256446.81</v>
      </c>
      <c r="H71" s="25">
        <f t="shared" si="25"/>
        <v>238695.02</v>
      </c>
      <c r="I71" s="25">
        <f t="shared" si="25"/>
        <v>30099.8</v>
      </c>
      <c r="J71" s="25">
        <f t="shared" si="25"/>
        <v>12348.01</v>
      </c>
      <c r="K71" s="25">
        <f t="shared" si="25"/>
        <v>256446.81</v>
      </c>
      <c r="L71" s="27"/>
      <c r="M71" s="62">
        <f t="shared" si="24"/>
        <v>0</v>
      </c>
    </row>
    <row r="72" spans="1:16" x14ac:dyDescent="0.2">
      <c r="A72" s="139" t="s">
        <v>18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0.47</v>
      </c>
      <c r="H72" s="10">
        <v>0.47</v>
      </c>
      <c r="I72" s="10">
        <v>0</v>
      </c>
      <c r="J72" s="10">
        <v>0</v>
      </c>
      <c r="K72" s="10">
        <f t="shared" si="20"/>
        <v>0.47</v>
      </c>
      <c r="L72" s="15"/>
      <c r="M72" s="62">
        <f t="shared" si="24"/>
        <v>0</v>
      </c>
    </row>
    <row r="73" spans="1:16" x14ac:dyDescent="0.2">
      <c r="A73" s="139" t="s">
        <v>29</v>
      </c>
      <c r="B73" s="10">
        <v>0</v>
      </c>
      <c r="C73" s="10">
        <v>0</v>
      </c>
      <c r="D73" s="10">
        <v>0</v>
      </c>
      <c r="E73" s="10">
        <v>0</v>
      </c>
      <c r="F73" s="12">
        <v>0</v>
      </c>
      <c r="G73" s="10">
        <v>17.399999999999999</v>
      </c>
      <c r="H73" s="10">
        <v>17.399999999999999</v>
      </c>
      <c r="I73" s="10"/>
      <c r="J73" s="10">
        <v>0</v>
      </c>
      <c r="K73" s="10">
        <f t="shared" si="20"/>
        <v>17.399999999999999</v>
      </c>
      <c r="L73" s="15"/>
      <c r="M73" s="62">
        <f t="shared" si="24"/>
        <v>0</v>
      </c>
    </row>
    <row r="74" spans="1:16" x14ac:dyDescent="0.2">
      <c r="A74" s="20" t="s">
        <v>37</v>
      </c>
      <c r="B74" s="25">
        <f t="shared" ref="B74:K74" si="26">SUM(B72:B73)</f>
        <v>0</v>
      </c>
      <c r="C74" s="25">
        <f t="shared" si="26"/>
        <v>0</v>
      </c>
      <c r="D74" s="25">
        <f t="shared" si="26"/>
        <v>0</v>
      </c>
      <c r="E74" s="25">
        <f t="shared" si="26"/>
        <v>0</v>
      </c>
      <c r="F74" s="25">
        <f t="shared" si="26"/>
        <v>0</v>
      </c>
      <c r="G74" s="25">
        <f t="shared" si="26"/>
        <v>17.869999999999997</v>
      </c>
      <c r="H74" s="25">
        <f t="shared" si="26"/>
        <v>17.869999999999997</v>
      </c>
      <c r="I74" s="25">
        <f t="shared" si="26"/>
        <v>0</v>
      </c>
      <c r="J74" s="25">
        <f t="shared" si="26"/>
        <v>0</v>
      </c>
      <c r="K74" s="25">
        <f t="shared" si="26"/>
        <v>17.869999999999997</v>
      </c>
      <c r="L74" s="27"/>
      <c r="M74" s="62">
        <f>+K74-G74</f>
        <v>0</v>
      </c>
    </row>
    <row r="75" spans="1:16" x14ac:dyDescent="0.2">
      <c r="A75" s="139" t="s">
        <v>18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1392</v>
      </c>
      <c r="H75" s="10">
        <v>1392</v>
      </c>
      <c r="I75" s="10">
        <v>0</v>
      </c>
      <c r="J75" s="10">
        <v>0</v>
      </c>
      <c r="K75" s="10">
        <f t="shared" si="20"/>
        <v>1392</v>
      </c>
      <c r="L75" s="15"/>
      <c r="M75" s="62">
        <f t="shared" si="24"/>
        <v>0</v>
      </c>
    </row>
    <row r="76" spans="1:16" x14ac:dyDescent="0.2">
      <c r="A76" s="139" t="s">
        <v>20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382.8</v>
      </c>
      <c r="H76" s="10">
        <v>382.8</v>
      </c>
      <c r="I76" s="10">
        <v>0</v>
      </c>
      <c r="J76" s="10">
        <v>0</v>
      </c>
      <c r="K76" s="10">
        <f t="shared" si="20"/>
        <v>382.8</v>
      </c>
      <c r="L76" s="15"/>
      <c r="M76" s="62">
        <f t="shared" si="24"/>
        <v>0</v>
      </c>
    </row>
    <row r="77" spans="1:16" x14ac:dyDescent="0.2">
      <c r="A77" s="139" t="s">
        <v>29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242057.67</v>
      </c>
      <c r="H77" s="10">
        <v>242057.67</v>
      </c>
      <c r="I77" s="10">
        <v>0</v>
      </c>
      <c r="J77" s="10">
        <v>0</v>
      </c>
      <c r="K77" s="10">
        <f t="shared" si="20"/>
        <v>242057.67</v>
      </c>
      <c r="L77" s="15"/>
      <c r="M77" s="62">
        <f t="shared" si="24"/>
        <v>0</v>
      </c>
    </row>
    <row r="78" spans="1:16" x14ac:dyDescent="0.2">
      <c r="A78" s="20" t="s">
        <v>38</v>
      </c>
      <c r="B78" s="25">
        <f t="shared" ref="B78:K78" si="27">SUM(B75:B77)</f>
        <v>0</v>
      </c>
      <c r="C78" s="25">
        <f t="shared" si="27"/>
        <v>0</v>
      </c>
      <c r="D78" s="25">
        <f t="shared" si="27"/>
        <v>0</v>
      </c>
      <c r="E78" s="25">
        <f t="shared" si="27"/>
        <v>0</v>
      </c>
      <c r="F78" s="25">
        <f t="shared" si="27"/>
        <v>0</v>
      </c>
      <c r="G78" s="25">
        <f t="shared" si="27"/>
        <v>243832.47</v>
      </c>
      <c r="H78" s="25">
        <f t="shared" si="27"/>
        <v>243832.47</v>
      </c>
      <c r="I78" s="25">
        <f t="shared" si="27"/>
        <v>0</v>
      </c>
      <c r="J78" s="25">
        <f t="shared" si="27"/>
        <v>0</v>
      </c>
      <c r="K78" s="25">
        <f t="shared" si="27"/>
        <v>243832.47</v>
      </c>
      <c r="L78" s="27"/>
      <c r="M78" s="62">
        <f t="shared" si="24"/>
        <v>0</v>
      </c>
    </row>
    <row r="79" spans="1:16" x14ac:dyDescent="0.2">
      <c r="A79" s="139" t="s">
        <v>36</v>
      </c>
      <c r="B79" s="10">
        <v>0</v>
      </c>
      <c r="C79" s="10">
        <v>0</v>
      </c>
      <c r="D79" s="10"/>
      <c r="E79" s="10">
        <v>0</v>
      </c>
      <c r="F79" s="12">
        <v>0</v>
      </c>
      <c r="G79" s="10">
        <v>-10</v>
      </c>
      <c r="H79" s="10">
        <v>-10</v>
      </c>
      <c r="I79" s="10">
        <v>0</v>
      </c>
      <c r="J79" s="10">
        <v>0</v>
      </c>
      <c r="K79" s="10">
        <f t="shared" si="20"/>
        <v>-10</v>
      </c>
      <c r="L79" s="15"/>
      <c r="M79" s="62">
        <f t="shared" si="24"/>
        <v>0</v>
      </c>
    </row>
    <row r="80" spans="1:16" x14ac:dyDescent="0.2">
      <c r="A80" s="139" t="s">
        <v>20</v>
      </c>
      <c r="B80" s="10">
        <v>0</v>
      </c>
      <c r="C80" s="10">
        <v>0</v>
      </c>
      <c r="D80" s="10"/>
      <c r="E80" s="10">
        <v>0</v>
      </c>
      <c r="F80" s="12">
        <v>0</v>
      </c>
      <c r="G80" s="10">
        <v>219.47</v>
      </c>
      <c r="H80" s="10">
        <v>219.47</v>
      </c>
      <c r="I80" s="10">
        <v>0</v>
      </c>
      <c r="J80" s="10">
        <v>0</v>
      </c>
      <c r="K80" s="10">
        <f t="shared" si="20"/>
        <v>219.47</v>
      </c>
      <c r="L80" s="15"/>
      <c r="M80" s="62">
        <f t="shared" si="24"/>
        <v>0</v>
      </c>
    </row>
    <row r="81" spans="1:13" x14ac:dyDescent="0.2">
      <c r="A81" s="139" t="s">
        <v>24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1150.8900000000001</v>
      </c>
      <c r="H81" s="10">
        <v>42631.81</v>
      </c>
      <c r="I81" s="10">
        <v>412765.08</v>
      </c>
      <c r="J81" s="10">
        <v>454246</v>
      </c>
      <c r="K81" s="10">
        <f t="shared" si="20"/>
        <v>1150.890000000014</v>
      </c>
      <c r="L81" s="15"/>
      <c r="M81" s="62">
        <f t="shared" si="24"/>
        <v>1.3869794202037156E-11</v>
      </c>
    </row>
    <row r="82" spans="1:13" x14ac:dyDescent="0.2">
      <c r="A82" s="139" t="s">
        <v>25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719.87</v>
      </c>
      <c r="H82" s="10">
        <v>719.87</v>
      </c>
      <c r="I82" s="10">
        <v>0</v>
      </c>
      <c r="J82" s="10">
        <v>0</v>
      </c>
      <c r="K82" s="10">
        <f t="shared" si="20"/>
        <v>719.87</v>
      </c>
      <c r="L82" s="15"/>
      <c r="M82" s="62">
        <f t="shared" si="24"/>
        <v>0</v>
      </c>
    </row>
    <row r="83" spans="1:13" x14ac:dyDescent="0.2">
      <c r="A83" s="139" t="s">
        <v>27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267528.84000000003</v>
      </c>
      <c r="H83" s="10">
        <v>0</v>
      </c>
      <c r="I83" s="10">
        <v>267528.84000000003</v>
      </c>
      <c r="J83" s="10">
        <v>0</v>
      </c>
      <c r="K83" s="10">
        <f t="shared" si="20"/>
        <v>267528.84000000003</v>
      </c>
      <c r="L83" s="15"/>
      <c r="M83" s="62">
        <f t="shared" si="24"/>
        <v>0</v>
      </c>
    </row>
    <row r="84" spans="1:13" x14ac:dyDescent="0.2">
      <c r="A84" s="139" t="s">
        <v>29</v>
      </c>
      <c r="B84" s="10">
        <v>0</v>
      </c>
      <c r="C84" s="10">
        <v>0</v>
      </c>
      <c r="D84" s="10"/>
      <c r="E84" s="10">
        <v>0</v>
      </c>
      <c r="F84" s="12">
        <v>0</v>
      </c>
      <c r="G84" s="10">
        <v>236767.4</v>
      </c>
      <c r="H84" s="10">
        <v>243581.68</v>
      </c>
      <c r="I84" s="10">
        <v>0</v>
      </c>
      <c r="J84" s="10">
        <f>2827.74+3986.54</f>
        <v>6814.28</v>
      </c>
      <c r="K84" s="10">
        <f t="shared" si="20"/>
        <v>236767.4</v>
      </c>
      <c r="L84" s="15"/>
      <c r="M84" s="62">
        <f t="shared" si="24"/>
        <v>0</v>
      </c>
    </row>
    <row r="85" spans="1:13" x14ac:dyDescent="0.2">
      <c r="A85" s="20" t="s">
        <v>39</v>
      </c>
      <c r="B85" s="25">
        <f t="shared" ref="B85:K85" si="28">SUM(B79:B84)</f>
        <v>0</v>
      </c>
      <c r="C85" s="25">
        <f t="shared" si="28"/>
        <v>0</v>
      </c>
      <c r="D85" s="25">
        <f t="shared" si="28"/>
        <v>0</v>
      </c>
      <c r="E85" s="25">
        <f t="shared" si="28"/>
        <v>0</v>
      </c>
      <c r="F85" s="25">
        <f t="shared" si="28"/>
        <v>0</v>
      </c>
      <c r="G85" s="25">
        <f t="shared" si="28"/>
        <v>506376.47</v>
      </c>
      <c r="H85" s="25">
        <f t="shared" si="28"/>
        <v>287142.83</v>
      </c>
      <c r="I85" s="25">
        <f t="shared" si="28"/>
        <v>680293.92</v>
      </c>
      <c r="J85" s="25">
        <f t="shared" si="28"/>
        <v>461060.28</v>
      </c>
      <c r="K85" s="25">
        <f t="shared" si="28"/>
        <v>506376.47000000009</v>
      </c>
      <c r="L85" s="27"/>
      <c r="M85" s="62">
        <f t="shared" si="24"/>
        <v>0</v>
      </c>
    </row>
    <row r="86" spans="1:13" x14ac:dyDescent="0.25">
      <c r="A86" s="20" t="s">
        <v>44</v>
      </c>
      <c r="B86" s="25">
        <f t="shared" ref="B86:K86" si="29">+B57+B69+B71+B74+B78+B85</f>
        <v>104936112.92999999</v>
      </c>
      <c r="C86" s="25">
        <f t="shared" si="29"/>
        <v>31581441.700000003</v>
      </c>
      <c r="D86" s="25">
        <f t="shared" si="29"/>
        <v>191349.32</v>
      </c>
      <c r="E86" s="25">
        <f t="shared" si="29"/>
        <v>27923468.280000001</v>
      </c>
      <c r="F86" s="25">
        <f t="shared" si="29"/>
        <v>5.1248144041110253</v>
      </c>
      <c r="G86" s="25">
        <f t="shared" si="29"/>
        <v>4599549.5500000007</v>
      </c>
      <c r="H86" s="25">
        <f t="shared" si="29"/>
        <v>5442768.7199999997</v>
      </c>
      <c r="I86" s="25">
        <f t="shared" si="29"/>
        <v>2802781.26</v>
      </c>
      <c r="J86" s="25">
        <f t="shared" si="29"/>
        <v>3646485.2</v>
      </c>
      <c r="K86" s="25">
        <f t="shared" si="29"/>
        <v>4599064.78</v>
      </c>
      <c r="L86" s="27"/>
    </row>
    <row r="87" spans="1:13" x14ac:dyDescent="0.25">
      <c r="A87" s="28"/>
      <c r="B87" s="29"/>
      <c r="C87" s="29"/>
      <c r="D87" s="29"/>
      <c r="E87" s="28"/>
      <c r="F87" s="28"/>
      <c r="G87" s="28"/>
      <c r="H87" s="28"/>
      <c r="I87" s="28"/>
      <c r="J87" s="28"/>
      <c r="K87" s="28"/>
      <c r="L87" s="30"/>
    </row>
    <row r="88" spans="1:13" x14ac:dyDescent="0.25">
      <c r="A88" s="140"/>
      <c r="B88" s="19"/>
      <c r="C88" s="333" t="s">
        <v>45</v>
      </c>
      <c r="D88" s="333"/>
      <c r="E88" s="333"/>
      <c r="F88" s="333"/>
      <c r="G88" s="333"/>
      <c r="H88" s="333"/>
      <c r="I88" s="333"/>
      <c r="J88" s="19"/>
      <c r="K88" s="19"/>
      <c r="L88" s="19"/>
    </row>
    <row r="89" spans="1:13" x14ac:dyDescent="0.25">
      <c r="A89" s="140"/>
      <c r="B89" s="19"/>
      <c r="C89" s="315"/>
      <c r="D89" s="315"/>
      <c r="E89" s="315"/>
      <c r="F89" s="315"/>
      <c r="G89" s="315"/>
      <c r="H89" s="315"/>
      <c r="I89" s="315"/>
      <c r="J89" s="19"/>
      <c r="K89" s="19"/>
      <c r="L89" s="19"/>
    </row>
    <row r="90" spans="1:13" x14ac:dyDescent="0.25">
      <c r="A90" s="140"/>
      <c r="B90" s="347" t="s">
        <v>46</v>
      </c>
      <c r="C90" s="348"/>
      <c r="D90" s="326" t="s">
        <v>47</v>
      </c>
      <c r="E90" s="327"/>
      <c r="F90" s="328"/>
      <c r="G90" s="326" t="s">
        <v>48</v>
      </c>
      <c r="H90" s="328"/>
      <c r="I90" s="317" t="s">
        <v>10</v>
      </c>
      <c r="J90" s="19"/>
      <c r="K90" s="19"/>
      <c r="L90" s="19"/>
    </row>
    <row r="91" spans="1:13" x14ac:dyDescent="0.25">
      <c r="A91" s="140"/>
      <c r="B91" s="345" t="s">
        <v>49</v>
      </c>
      <c r="C91" s="346"/>
      <c r="D91" s="330">
        <v>9000000</v>
      </c>
      <c r="E91" s="331"/>
      <c r="F91" s="332">
        <v>0</v>
      </c>
      <c r="G91" s="330">
        <v>0</v>
      </c>
      <c r="H91" s="332"/>
      <c r="I91" s="33">
        <f>G91/D91</f>
        <v>0</v>
      </c>
      <c r="J91" s="19"/>
      <c r="K91" s="19"/>
      <c r="L91" s="19"/>
    </row>
    <row r="92" spans="1:13" x14ac:dyDescent="0.25">
      <c r="A92" s="140"/>
      <c r="B92" s="326"/>
      <c r="C92" s="328"/>
      <c r="D92" s="321"/>
      <c r="E92" s="322"/>
      <c r="F92" s="323"/>
      <c r="G92" s="343"/>
      <c r="H92" s="344"/>
      <c r="I92" s="318"/>
      <c r="J92" s="19"/>
      <c r="K92" s="19"/>
      <c r="L92" s="19"/>
    </row>
    <row r="93" spans="1:13" x14ac:dyDescent="0.25">
      <c r="A93" s="140"/>
      <c r="B93" s="326"/>
      <c r="C93" s="328"/>
      <c r="D93" s="321"/>
      <c r="E93" s="322"/>
      <c r="F93" s="323"/>
      <c r="G93" s="343"/>
      <c r="H93" s="344"/>
      <c r="I93" s="318"/>
      <c r="J93" s="19"/>
      <c r="K93" s="19"/>
      <c r="L93" s="19"/>
    </row>
    <row r="94" spans="1:13" x14ac:dyDescent="0.25">
      <c r="A94" s="140"/>
      <c r="B94" s="326"/>
      <c r="C94" s="328"/>
      <c r="D94" s="321"/>
      <c r="E94" s="322"/>
      <c r="F94" s="323"/>
      <c r="G94" s="343"/>
      <c r="H94" s="344"/>
      <c r="I94" s="318"/>
      <c r="J94" s="19"/>
      <c r="K94" s="19"/>
      <c r="L94" s="19"/>
    </row>
    <row r="95" spans="1:13" x14ac:dyDescent="0.25">
      <c r="A95" s="35" t="s">
        <v>50</v>
      </c>
      <c r="B95" s="36"/>
      <c r="C95" s="36"/>
      <c r="D95" s="36"/>
      <c r="E95" s="36"/>
      <c r="F95" s="36"/>
      <c r="G95" s="37"/>
      <c r="H95" s="37"/>
      <c r="I95" s="38"/>
      <c r="J95" s="19"/>
      <c r="K95" s="19"/>
      <c r="L95" s="19"/>
    </row>
    <row r="97" spans="3:10" x14ac:dyDescent="0.25">
      <c r="C97" s="342" t="s">
        <v>125</v>
      </c>
      <c r="D97" s="342"/>
      <c r="I97" s="342" t="s">
        <v>128</v>
      </c>
      <c r="J97" s="342"/>
    </row>
    <row r="100" spans="3:10" x14ac:dyDescent="0.25">
      <c r="C100" s="342" t="s">
        <v>126</v>
      </c>
      <c r="D100" s="342"/>
      <c r="I100" s="342" t="s">
        <v>129</v>
      </c>
      <c r="J100" s="342"/>
    </row>
    <row r="101" spans="3:10" x14ac:dyDescent="0.25">
      <c r="C101" s="342" t="s">
        <v>127</v>
      </c>
      <c r="D101" s="342"/>
      <c r="I101" s="342" t="s">
        <v>130</v>
      </c>
      <c r="J101" s="342"/>
    </row>
  </sheetData>
  <mergeCells count="39">
    <mergeCell ref="B93:C93"/>
    <mergeCell ref="D93:F93"/>
    <mergeCell ref="G93:H93"/>
    <mergeCell ref="C101:D101"/>
    <mergeCell ref="I101:J101"/>
    <mergeCell ref="B94:C94"/>
    <mergeCell ref="D94:F94"/>
    <mergeCell ref="G94:H94"/>
    <mergeCell ref="C97:D97"/>
    <mergeCell ref="I97:J97"/>
    <mergeCell ref="C100:D100"/>
    <mergeCell ref="I100:J100"/>
    <mergeCell ref="B91:C91"/>
    <mergeCell ref="D91:F91"/>
    <mergeCell ref="G91:H91"/>
    <mergeCell ref="B92:C92"/>
    <mergeCell ref="D92:F92"/>
    <mergeCell ref="G92:H92"/>
    <mergeCell ref="J9:J10"/>
    <mergeCell ref="K9:K10"/>
    <mergeCell ref="B90:C90"/>
    <mergeCell ref="D90:F90"/>
    <mergeCell ref="G90:H90"/>
    <mergeCell ref="C88:I88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A1:L1"/>
    <mergeCell ref="A3:L3"/>
    <mergeCell ref="A6:L6"/>
    <mergeCell ref="A7:L7"/>
    <mergeCell ref="C8:G8"/>
    <mergeCell ref="H8:K8"/>
  </mergeCells>
  <pageMargins left="0.7" right="0.7" top="0.75" bottom="0.75" header="0.3" footer="0.3"/>
  <pageSetup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74"/>
  <sheetViews>
    <sheetView topLeftCell="A13" workbookViewId="0">
      <selection activeCell="D28" sqref="D28"/>
    </sheetView>
  </sheetViews>
  <sheetFormatPr baseColWidth="10" defaultColWidth="16.5703125" defaultRowHeight="12.75" x14ac:dyDescent="0.2"/>
  <cols>
    <col min="1" max="1" width="16.5703125" style="5" customWidth="1"/>
    <col min="2" max="2" width="11.5703125" style="1" customWidth="1"/>
    <col min="3" max="3" width="9" style="1" customWidth="1"/>
    <col min="4" max="4" width="12.7109375" style="1" customWidth="1"/>
    <col min="5" max="5" width="9.85546875" style="1" customWidth="1"/>
    <col min="6" max="6" width="6.5703125" style="1" bestFit="1" customWidth="1"/>
    <col min="7" max="7" width="10.7109375" style="1" customWidth="1"/>
    <col min="8" max="8" width="14.42578125" style="1" customWidth="1"/>
    <col min="9" max="9" width="13.7109375" style="1" customWidth="1"/>
    <col min="10" max="10" width="15.7109375" style="1" customWidth="1"/>
    <col min="11" max="238" width="16.5703125" style="1"/>
    <col min="239" max="239" width="16.5703125" style="1" customWidth="1"/>
    <col min="240" max="243" width="12.7109375" style="1" customWidth="1"/>
    <col min="244" max="244" width="6.5703125" style="1" bestFit="1" customWidth="1"/>
    <col min="245" max="249" width="12.7109375" style="1" customWidth="1"/>
    <col min="250" max="494" width="16.5703125" style="1"/>
    <col min="495" max="495" width="16.5703125" style="1" customWidth="1"/>
    <col min="496" max="499" width="12.7109375" style="1" customWidth="1"/>
    <col min="500" max="500" width="6.5703125" style="1" bestFit="1" customWidth="1"/>
    <col min="501" max="505" width="12.7109375" style="1" customWidth="1"/>
    <col min="506" max="750" width="16.5703125" style="1"/>
    <col min="751" max="751" width="16.5703125" style="1" customWidth="1"/>
    <col min="752" max="755" width="12.7109375" style="1" customWidth="1"/>
    <col min="756" max="756" width="6.5703125" style="1" bestFit="1" customWidth="1"/>
    <col min="757" max="761" width="12.7109375" style="1" customWidth="1"/>
    <col min="762" max="1006" width="16.5703125" style="1"/>
    <col min="1007" max="1007" width="16.5703125" style="1" customWidth="1"/>
    <col min="1008" max="1011" width="12.7109375" style="1" customWidth="1"/>
    <col min="1012" max="1012" width="6.5703125" style="1" bestFit="1" customWidth="1"/>
    <col min="1013" max="1017" width="12.7109375" style="1" customWidth="1"/>
    <col min="1018" max="1262" width="16.5703125" style="1"/>
    <col min="1263" max="1263" width="16.5703125" style="1" customWidth="1"/>
    <col min="1264" max="1267" width="12.7109375" style="1" customWidth="1"/>
    <col min="1268" max="1268" width="6.5703125" style="1" bestFit="1" customWidth="1"/>
    <col min="1269" max="1273" width="12.7109375" style="1" customWidth="1"/>
    <col min="1274" max="1518" width="16.5703125" style="1"/>
    <col min="1519" max="1519" width="16.5703125" style="1" customWidth="1"/>
    <col min="1520" max="1523" width="12.7109375" style="1" customWidth="1"/>
    <col min="1524" max="1524" width="6.5703125" style="1" bestFit="1" customWidth="1"/>
    <col min="1525" max="1529" width="12.7109375" style="1" customWidth="1"/>
    <col min="1530" max="1774" width="16.5703125" style="1"/>
    <col min="1775" max="1775" width="16.5703125" style="1" customWidth="1"/>
    <col min="1776" max="1779" width="12.7109375" style="1" customWidth="1"/>
    <col min="1780" max="1780" width="6.5703125" style="1" bestFit="1" customWidth="1"/>
    <col min="1781" max="1785" width="12.7109375" style="1" customWidth="1"/>
    <col min="1786" max="2030" width="16.5703125" style="1"/>
    <col min="2031" max="2031" width="16.5703125" style="1" customWidth="1"/>
    <col min="2032" max="2035" width="12.7109375" style="1" customWidth="1"/>
    <col min="2036" max="2036" width="6.5703125" style="1" bestFit="1" customWidth="1"/>
    <col min="2037" max="2041" width="12.7109375" style="1" customWidth="1"/>
    <col min="2042" max="2286" width="16.5703125" style="1"/>
    <col min="2287" max="2287" width="16.5703125" style="1" customWidth="1"/>
    <col min="2288" max="2291" width="12.7109375" style="1" customWidth="1"/>
    <col min="2292" max="2292" width="6.5703125" style="1" bestFit="1" customWidth="1"/>
    <col min="2293" max="2297" width="12.7109375" style="1" customWidth="1"/>
    <col min="2298" max="2542" width="16.5703125" style="1"/>
    <col min="2543" max="2543" width="16.5703125" style="1" customWidth="1"/>
    <col min="2544" max="2547" width="12.7109375" style="1" customWidth="1"/>
    <col min="2548" max="2548" width="6.5703125" style="1" bestFit="1" customWidth="1"/>
    <col min="2549" max="2553" width="12.7109375" style="1" customWidth="1"/>
    <col min="2554" max="2798" width="16.5703125" style="1"/>
    <col min="2799" max="2799" width="16.5703125" style="1" customWidth="1"/>
    <col min="2800" max="2803" width="12.7109375" style="1" customWidth="1"/>
    <col min="2804" max="2804" width="6.5703125" style="1" bestFit="1" customWidth="1"/>
    <col min="2805" max="2809" width="12.7109375" style="1" customWidth="1"/>
    <col min="2810" max="3054" width="16.5703125" style="1"/>
    <col min="3055" max="3055" width="16.5703125" style="1" customWidth="1"/>
    <col min="3056" max="3059" width="12.7109375" style="1" customWidth="1"/>
    <col min="3060" max="3060" width="6.5703125" style="1" bestFit="1" customWidth="1"/>
    <col min="3061" max="3065" width="12.7109375" style="1" customWidth="1"/>
    <col min="3066" max="3310" width="16.5703125" style="1"/>
    <col min="3311" max="3311" width="16.5703125" style="1" customWidth="1"/>
    <col min="3312" max="3315" width="12.7109375" style="1" customWidth="1"/>
    <col min="3316" max="3316" width="6.5703125" style="1" bestFit="1" customWidth="1"/>
    <col min="3317" max="3321" width="12.7109375" style="1" customWidth="1"/>
    <col min="3322" max="3566" width="16.5703125" style="1"/>
    <col min="3567" max="3567" width="16.5703125" style="1" customWidth="1"/>
    <col min="3568" max="3571" width="12.7109375" style="1" customWidth="1"/>
    <col min="3572" max="3572" width="6.5703125" style="1" bestFit="1" customWidth="1"/>
    <col min="3573" max="3577" width="12.7109375" style="1" customWidth="1"/>
    <col min="3578" max="3822" width="16.5703125" style="1"/>
    <col min="3823" max="3823" width="16.5703125" style="1" customWidth="1"/>
    <col min="3824" max="3827" width="12.7109375" style="1" customWidth="1"/>
    <col min="3828" max="3828" width="6.5703125" style="1" bestFit="1" customWidth="1"/>
    <col min="3829" max="3833" width="12.7109375" style="1" customWidth="1"/>
    <col min="3834" max="4078" width="16.5703125" style="1"/>
    <col min="4079" max="4079" width="16.5703125" style="1" customWidth="1"/>
    <col min="4080" max="4083" width="12.7109375" style="1" customWidth="1"/>
    <col min="4084" max="4084" width="6.5703125" style="1" bestFit="1" customWidth="1"/>
    <col min="4085" max="4089" width="12.7109375" style="1" customWidth="1"/>
    <col min="4090" max="4334" width="16.5703125" style="1"/>
    <col min="4335" max="4335" width="16.5703125" style="1" customWidth="1"/>
    <col min="4336" max="4339" width="12.7109375" style="1" customWidth="1"/>
    <col min="4340" max="4340" width="6.5703125" style="1" bestFit="1" customWidth="1"/>
    <col min="4341" max="4345" width="12.7109375" style="1" customWidth="1"/>
    <col min="4346" max="4590" width="16.5703125" style="1"/>
    <col min="4591" max="4591" width="16.5703125" style="1" customWidth="1"/>
    <col min="4592" max="4595" width="12.7109375" style="1" customWidth="1"/>
    <col min="4596" max="4596" width="6.5703125" style="1" bestFit="1" customWidth="1"/>
    <col min="4597" max="4601" width="12.7109375" style="1" customWidth="1"/>
    <col min="4602" max="4846" width="16.5703125" style="1"/>
    <col min="4847" max="4847" width="16.5703125" style="1" customWidth="1"/>
    <col min="4848" max="4851" width="12.7109375" style="1" customWidth="1"/>
    <col min="4852" max="4852" width="6.5703125" style="1" bestFit="1" customWidth="1"/>
    <col min="4853" max="4857" width="12.7109375" style="1" customWidth="1"/>
    <col min="4858" max="5102" width="16.5703125" style="1"/>
    <col min="5103" max="5103" width="16.5703125" style="1" customWidth="1"/>
    <col min="5104" max="5107" width="12.7109375" style="1" customWidth="1"/>
    <col min="5108" max="5108" width="6.5703125" style="1" bestFit="1" customWidth="1"/>
    <col min="5109" max="5113" width="12.7109375" style="1" customWidth="1"/>
    <col min="5114" max="5358" width="16.5703125" style="1"/>
    <col min="5359" max="5359" width="16.5703125" style="1" customWidth="1"/>
    <col min="5360" max="5363" width="12.7109375" style="1" customWidth="1"/>
    <col min="5364" max="5364" width="6.5703125" style="1" bestFit="1" customWidth="1"/>
    <col min="5365" max="5369" width="12.7109375" style="1" customWidth="1"/>
    <col min="5370" max="5614" width="16.5703125" style="1"/>
    <col min="5615" max="5615" width="16.5703125" style="1" customWidth="1"/>
    <col min="5616" max="5619" width="12.7109375" style="1" customWidth="1"/>
    <col min="5620" max="5620" width="6.5703125" style="1" bestFit="1" customWidth="1"/>
    <col min="5621" max="5625" width="12.7109375" style="1" customWidth="1"/>
    <col min="5626" max="5870" width="16.5703125" style="1"/>
    <col min="5871" max="5871" width="16.5703125" style="1" customWidth="1"/>
    <col min="5872" max="5875" width="12.7109375" style="1" customWidth="1"/>
    <col min="5876" max="5876" width="6.5703125" style="1" bestFit="1" customWidth="1"/>
    <col min="5877" max="5881" width="12.7109375" style="1" customWidth="1"/>
    <col min="5882" max="6126" width="16.5703125" style="1"/>
    <col min="6127" max="6127" width="16.5703125" style="1" customWidth="1"/>
    <col min="6128" max="6131" width="12.7109375" style="1" customWidth="1"/>
    <col min="6132" max="6132" width="6.5703125" style="1" bestFit="1" customWidth="1"/>
    <col min="6133" max="6137" width="12.7109375" style="1" customWidth="1"/>
    <col min="6138" max="6382" width="16.5703125" style="1"/>
    <col min="6383" max="6383" width="16.5703125" style="1" customWidth="1"/>
    <col min="6384" max="6387" width="12.7109375" style="1" customWidth="1"/>
    <col min="6388" max="6388" width="6.5703125" style="1" bestFit="1" customWidth="1"/>
    <col min="6389" max="6393" width="12.7109375" style="1" customWidth="1"/>
    <col min="6394" max="6638" width="16.5703125" style="1"/>
    <col min="6639" max="6639" width="16.5703125" style="1" customWidth="1"/>
    <col min="6640" max="6643" width="12.7109375" style="1" customWidth="1"/>
    <col min="6644" max="6644" width="6.5703125" style="1" bestFit="1" customWidth="1"/>
    <col min="6645" max="6649" width="12.7109375" style="1" customWidth="1"/>
    <col min="6650" max="6894" width="16.5703125" style="1"/>
    <col min="6895" max="6895" width="16.5703125" style="1" customWidth="1"/>
    <col min="6896" max="6899" width="12.7109375" style="1" customWidth="1"/>
    <col min="6900" max="6900" width="6.5703125" style="1" bestFit="1" customWidth="1"/>
    <col min="6901" max="6905" width="12.7109375" style="1" customWidth="1"/>
    <col min="6906" max="7150" width="16.5703125" style="1"/>
    <col min="7151" max="7151" width="16.5703125" style="1" customWidth="1"/>
    <col min="7152" max="7155" width="12.7109375" style="1" customWidth="1"/>
    <col min="7156" max="7156" width="6.5703125" style="1" bestFit="1" customWidth="1"/>
    <col min="7157" max="7161" width="12.7109375" style="1" customWidth="1"/>
    <col min="7162" max="7406" width="16.5703125" style="1"/>
    <col min="7407" max="7407" width="16.5703125" style="1" customWidth="1"/>
    <col min="7408" max="7411" width="12.7109375" style="1" customWidth="1"/>
    <col min="7412" max="7412" width="6.5703125" style="1" bestFit="1" customWidth="1"/>
    <col min="7413" max="7417" width="12.7109375" style="1" customWidth="1"/>
    <col min="7418" max="7662" width="16.5703125" style="1"/>
    <col min="7663" max="7663" width="16.5703125" style="1" customWidth="1"/>
    <col min="7664" max="7667" width="12.7109375" style="1" customWidth="1"/>
    <col min="7668" max="7668" width="6.5703125" style="1" bestFit="1" customWidth="1"/>
    <col min="7669" max="7673" width="12.7109375" style="1" customWidth="1"/>
    <col min="7674" max="7918" width="16.5703125" style="1"/>
    <col min="7919" max="7919" width="16.5703125" style="1" customWidth="1"/>
    <col min="7920" max="7923" width="12.7109375" style="1" customWidth="1"/>
    <col min="7924" max="7924" width="6.5703125" style="1" bestFit="1" customWidth="1"/>
    <col min="7925" max="7929" width="12.7109375" style="1" customWidth="1"/>
    <col min="7930" max="8174" width="16.5703125" style="1"/>
    <col min="8175" max="8175" width="16.5703125" style="1" customWidth="1"/>
    <col min="8176" max="8179" width="12.7109375" style="1" customWidth="1"/>
    <col min="8180" max="8180" width="6.5703125" style="1" bestFit="1" customWidth="1"/>
    <col min="8181" max="8185" width="12.7109375" style="1" customWidth="1"/>
    <col min="8186" max="8430" width="16.5703125" style="1"/>
    <col min="8431" max="8431" width="16.5703125" style="1" customWidth="1"/>
    <col min="8432" max="8435" width="12.7109375" style="1" customWidth="1"/>
    <col min="8436" max="8436" width="6.5703125" style="1" bestFit="1" customWidth="1"/>
    <col min="8437" max="8441" width="12.7109375" style="1" customWidth="1"/>
    <col min="8442" max="8686" width="16.5703125" style="1"/>
    <col min="8687" max="8687" width="16.5703125" style="1" customWidth="1"/>
    <col min="8688" max="8691" width="12.7109375" style="1" customWidth="1"/>
    <col min="8692" max="8692" width="6.5703125" style="1" bestFit="1" customWidth="1"/>
    <col min="8693" max="8697" width="12.7109375" style="1" customWidth="1"/>
    <col min="8698" max="8942" width="16.5703125" style="1"/>
    <col min="8943" max="8943" width="16.5703125" style="1" customWidth="1"/>
    <col min="8944" max="8947" width="12.7109375" style="1" customWidth="1"/>
    <col min="8948" max="8948" width="6.5703125" style="1" bestFit="1" customWidth="1"/>
    <col min="8949" max="8953" width="12.7109375" style="1" customWidth="1"/>
    <col min="8954" max="9198" width="16.5703125" style="1"/>
    <col min="9199" max="9199" width="16.5703125" style="1" customWidth="1"/>
    <col min="9200" max="9203" width="12.7109375" style="1" customWidth="1"/>
    <col min="9204" max="9204" width="6.5703125" style="1" bestFit="1" customWidth="1"/>
    <col min="9205" max="9209" width="12.7109375" style="1" customWidth="1"/>
    <col min="9210" max="9454" width="16.5703125" style="1"/>
    <col min="9455" max="9455" width="16.5703125" style="1" customWidth="1"/>
    <col min="9456" max="9459" width="12.7109375" style="1" customWidth="1"/>
    <col min="9460" max="9460" width="6.5703125" style="1" bestFit="1" customWidth="1"/>
    <col min="9461" max="9465" width="12.7109375" style="1" customWidth="1"/>
    <col min="9466" max="9710" width="16.5703125" style="1"/>
    <col min="9711" max="9711" width="16.5703125" style="1" customWidth="1"/>
    <col min="9712" max="9715" width="12.7109375" style="1" customWidth="1"/>
    <col min="9716" max="9716" width="6.5703125" style="1" bestFit="1" customWidth="1"/>
    <col min="9717" max="9721" width="12.7109375" style="1" customWidth="1"/>
    <col min="9722" max="9966" width="16.5703125" style="1"/>
    <col min="9967" max="9967" width="16.5703125" style="1" customWidth="1"/>
    <col min="9968" max="9971" width="12.7109375" style="1" customWidth="1"/>
    <col min="9972" max="9972" width="6.5703125" style="1" bestFit="1" customWidth="1"/>
    <col min="9973" max="9977" width="12.7109375" style="1" customWidth="1"/>
    <col min="9978" max="10222" width="16.5703125" style="1"/>
    <col min="10223" max="10223" width="16.5703125" style="1" customWidth="1"/>
    <col min="10224" max="10227" width="12.7109375" style="1" customWidth="1"/>
    <col min="10228" max="10228" width="6.5703125" style="1" bestFit="1" customWidth="1"/>
    <col min="10229" max="10233" width="12.7109375" style="1" customWidth="1"/>
    <col min="10234" max="10478" width="16.5703125" style="1"/>
    <col min="10479" max="10479" width="16.5703125" style="1" customWidth="1"/>
    <col min="10480" max="10483" width="12.7109375" style="1" customWidth="1"/>
    <col min="10484" max="10484" width="6.5703125" style="1" bestFit="1" customWidth="1"/>
    <col min="10485" max="10489" width="12.7109375" style="1" customWidth="1"/>
    <col min="10490" max="10734" width="16.5703125" style="1"/>
    <col min="10735" max="10735" width="16.5703125" style="1" customWidth="1"/>
    <col min="10736" max="10739" width="12.7109375" style="1" customWidth="1"/>
    <col min="10740" max="10740" width="6.5703125" style="1" bestFit="1" customWidth="1"/>
    <col min="10741" max="10745" width="12.7109375" style="1" customWidth="1"/>
    <col min="10746" max="10990" width="16.5703125" style="1"/>
    <col min="10991" max="10991" width="16.5703125" style="1" customWidth="1"/>
    <col min="10992" max="10995" width="12.7109375" style="1" customWidth="1"/>
    <col min="10996" max="10996" width="6.5703125" style="1" bestFit="1" customWidth="1"/>
    <col min="10997" max="11001" width="12.7109375" style="1" customWidth="1"/>
    <col min="11002" max="11246" width="16.5703125" style="1"/>
    <col min="11247" max="11247" width="16.5703125" style="1" customWidth="1"/>
    <col min="11248" max="11251" width="12.7109375" style="1" customWidth="1"/>
    <col min="11252" max="11252" width="6.5703125" style="1" bestFit="1" customWidth="1"/>
    <col min="11253" max="11257" width="12.7109375" style="1" customWidth="1"/>
    <col min="11258" max="11502" width="16.5703125" style="1"/>
    <col min="11503" max="11503" width="16.5703125" style="1" customWidth="1"/>
    <col min="11504" max="11507" width="12.7109375" style="1" customWidth="1"/>
    <col min="11508" max="11508" width="6.5703125" style="1" bestFit="1" customWidth="1"/>
    <col min="11509" max="11513" width="12.7109375" style="1" customWidth="1"/>
    <col min="11514" max="11758" width="16.5703125" style="1"/>
    <col min="11759" max="11759" width="16.5703125" style="1" customWidth="1"/>
    <col min="11760" max="11763" width="12.7109375" style="1" customWidth="1"/>
    <col min="11764" max="11764" width="6.5703125" style="1" bestFit="1" customWidth="1"/>
    <col min="11765" max="11769" width="12.7109375" style="1" customWidth="1"/>
    <col min="11770" max="12014" width="16.5703125" style="1"/>
    <col min="12015" max="12015" width="16.5703125" style="1" customWidth="1"/>
    <col min="12016" max="12019" width="12.7109375" style="1" customWidth="1"/>
    <col min="12020" max="12020" width="6.5703125" style="1" bestFit="1" customWidth="1"/>
    <col min="12021" max="12025" width="12.7109375" style="1" customWidth="1"/>
    <col min="12026" max="12270" width="16.5703125" style="1"/>
    <col min="12271" max="12271" width="16.5703125" style="1" customWidth="1"/>
    <col min="12272" max="12275" width="12.7109375" style="1" customWidth="1"/>
    <col min="12276" max="12276" width="6.5703125" style="1" bestFit="1" customWidth="1"/>
    <col min="12277" max="12281" width="12.7109375" style="1" customWidth="1"/>
    <col min="12282" max="12526" width="16.5703125" style="1"/>
    <col min="12527" max="12527" width="16.5703125" style="1" customWidth="1"/>
    <col min="12528" max="12531" width="12.7109375" style="1" customWidth="1"/>
    <col min="12532" max="12532" width="6.5703125" style="1" bestFit="1" customWidth="1"/>
    <col min="12533" max="12537" width="12.7109375" style="1" customWidth="1"/>
    <col min="12538" max="12782" width="16.5703125" style="1"/>
    <col min="12783" max="12783" width="16.5703125" style="1" customWidth="1"/>
    <col min="12784" max="12787" width="12.7109375" style="1" customWidth="1"/>
    <col min="12788" max="12788" width="6.5703125" style="1" bestFit="1" customWidth="1"/>
    <col min="12789" max="12793" width="12.7109375" style="1" customWidth="1"/>
    <col min="12794" max="13038" width="16.5703125" style="1"/>
    <col min="13039" max="13039" width="16.5703125" style="1" customWidth="1"/>
    <col min="13040" max="13043" width="12.7109375" style="1" customWidth="1"/>
    <col min="13044" max="13044" width="6.5703125" style="1" bestFit="1" customWidth="1"/>
    <col min="13045" max="13049" width="12.7109375" style="1" customWidth="1"/>
    <col min="13050" max="13294" width="16.5703125" style="1"/>
    <col min="13295" max="13295" width="16.5703125" style="1" customWidth="1"/>
    <col min="13296" max="13299" width="12.7109375" style="1" customWidth="1"/>
    <col min="13300" max="13300" width="6.5703125" style="1" bestFit="1" customWidth="1"/>
    <col min="13301" max="13305" width="12.7109375" style="1" customWidth="1"/>
    <col min="13306" max="13550" width="16.5703125" style="1"/>
    <col min="13551" max="13551" width="16.5703125" style="1" customWidth="1"/>
    <col min="13552" max="13555" width="12.7109375" style="1" customWidth="1"/>
    <col min="13556" max="13556" width="6.5703125" style="1" bestFit="1" customWidth="1"/>
    <col min="13557" max="13561" width="12.7109375" style="1" customWidth="1"/>
    <col min="13562" max="13806" width="16.5703125" style="1"/>
    <col min="13807" max="13807" width="16.5703125" style="1" customWidth="1"/>
    <col min="13808" max="13811" width="12.7109375" style="1" customWidth="1"/>
    <col min="13812" max="13812" width="6.5703125" style="1" bestFit="1" customWidth="1"/>
    <col min="13813" max="13817" width="12.7109375" style="1" customWidth="1"/>
    <col min="13818" max="14062" width="16.5703125" style="1"/>
    <col min="14063" max="14063" width="16.5703125" style="1" customWidth="1"/>
    <col min="14064" max="14067" width="12.7109375" style="1" customWidth="1"/>
    <col min="14068" max="14068" width="6.5703125" style="1" bestFit="1" customWidth="1"/>
    <col min="14069" max="14073" width="12.7109375" style="1" customWidth="1"/>
    <col min="14074" max="14318" width="16.5703125" style="1"/>
    <col min="14319" max="14319" width="16.5703125" style="1" customWidth="1"/>
    <col min="14320" max="14323" width="12.7109375" style="1" customWidth="1"/>
    <col min="14324" max="14324" width="6.5703125" style="1" bestFit="1" customWidth="1"/>
    <col min="14325" max="14329" width="12.7109375" style="1" customWidth="1"/>
    <col min="14330" max="14574" width="16.5703125" style="1"/>
    <col min="14575" max="14575" width="16.5703125" style="1" customWidth="1"/>
    <col min="14576" max="14579" width="12.7109375" style="1" customWidth="1"/>
    <col min="14580" max="14580" width="6.5703125" style="1" bestFit="1" customWidth="1"/>
    <col min="14581" max="14585" width="12.7109375" style="1" customWidth="1"/>
    <col min="14586" max="14830" width="16.5703125" style="1"/>
    <col min="14831" max="14831" width="16.5703125" style="1" customWidth="1"/>
    <col min="14832" max="14835" width="12.7109375" style="1" customWidth="1"/>
    <col min="14836" max="14836" width="6.5703125" style="1" bestFit="1" customWidth="1"/>
    <col min="14837" max="14841" width="12.7109375" style="1" customWidth="1"/>
    <col min="14842" max="15086" width="16.5703125" style="1"/>
    <col min="15087" max="15087" width="16.5703125" style="1" customWidth="1"/>
    <col min="15088" max="15091" width="12.7109375" style="1" customWidth="1"/>
    <col min="15092" max="15092" width="6.5703125" style="1" bestFit="1" customWidth="1"/>
    <col min="15093" max="15097" width="12.7109375" style="1" customWidth="1"/>
    <col min="15098" max="15342" width="16.5703125" style="1"/>
    <col min="15343" max="15343" width="16.5703125" style="1" customWidth="1"/>
    <col min="15344" max="15347" width="12.7109375" style="1" customWidth="1"/>
    <col min="15348" max="15348" width="6.5703125" style="1" bestFit="1" customWidth="1"/>
    <col min="15349" max="15353" width="12.7109375" style="1" customWidth="1"/>
    <col min="15354" max="15598" width="16.5703125" style="1"/>
    <col min="15599" max="15599" width="16.5703125" style="1" customWidth="1"/>
    <col min="15600" max="15603" width="12.7109375" style="1" customWidth="1"/>
    <col min="15604" max="15604" width="6.5703125" style="1" bestFit="1" customWidth="1"/>
    <col min="15605" max="15609" width="12.7109375" style="1" customWidth="1"/>
    <col min="15610" max="15854" width="16.5703125" style="1"/>
    <col min="15855" max="15855" width="16.5703125" style="1" customWidth="1"/>
    <col min="15856" max="15859" width="12.7109375" style="1" customWidth="1"/>
    <col min="15860" max="15860" width="6.5703125" style="1" bestFit="1" customWidth="1"/>
    <col min="15861" max="15865" width="12.7109375" style="1" customWidth="1"/>
    <col min="15866" max="16110" width="16.5703125" style="1"/>
    <col min="16111" max="16111" width="16.5703125" style="1" customWidth="1"/>
    <col min="16112" max="16115" width="12.7109375" style="1" customWidth="1"/>
    <col min="16116" max="16116" width="6.5703125" style="1" bestFit="1" customWidth="1"/>
    <col min="16117" max="16121" width="12.7109375" style="1" customWidth="1"/>
    <col min="16122" max="16384" width="16.5703125" style="1"/>
  </cols>
  <sheetData>
    <row r="1" spans="1:12" ht="15.75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ht="15.75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5.75" x14ac:dyDescent="0.25">
      <c r="A3" s="334" t="s">
        <v>131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2" ht="15.75" x14ac:dyDescent="0.25">
      <c r="A4" s="334" t="s">
        <v>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</row>
    <row r="5" spans="1:12" ht="15.75" x14ac:dyDescent="0.25">
      <c r="A5" s="3"/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2" ht="15.75" x14ac:dyDescent="0.25">
      <c r="A6" s="3" t="s">
        <v>55</v>
      </c>
      <c r="B6" s="5"/>
      <c r="C6" s="5"/>
      <c r="D6" s="5"/>
      <c r="E6" s="6"/>
      <c r="F6" s="6"/>
      <c r="G6" s="6"/>
      <c r="H6" s="195"/>
      <c r="I6" s="6"/>
    </row>
    <row r="7" spans="1:12" ht="15.75" x14ac:dyDescent="0.25">
      <c r="A7" s="334" t="s">
        <v>54</v>
      </c>
      <c r="B7" s="334"/>
      <c r="C7" s="334"/>
      <c r="D7" s="334"/>
      <c r="E7" s="334"/>
      <c r="F7" s="334"/>
      <c r="G7" s="334"/>
      <c r="H7" s="334"/>
      <c r="I7" s="334"/>
      <c r="J7" s="334"/>
    </row>
    <row r="8" spans="1:12" ht="15.75" x14ac:dyDescent="0.25">
      <c r="A8" s="334" t="s">
        <v>150</v>
      </c>
      <c r="B8" s="334"/>
      <c r="C8" s="334"/>
      <c r="D8" s="334"/>
      <c r="E8" s="334"/>
      <c r="F8" s="334"/>
      <c r="G8" s="334"/>
      <c r="H8" s="334"/>
      <c r="I8" s="334"/>
      <c r="J8" s="334"/>
    </row>
    <row r="9" spans="1:12" ht="13.5" x14ac:dyDescent="0.25">
      <c r="C9" s="335" t="s">
        <v>3</v>
      </c>
      <c r="D9" s="335"/>
      <c r="E9" s="336"/>
      <c r="F9" s="336"/>
      <c r="G9" s="336"/>
      <c r="H9" s="335" t="s">
        <v>4</v>
      </c>
      <c r="I9" s="335"/>
      <c r="J9" s="335"/>
    </row>
    <row r="10" spans="1:12" s="17" customFormat="1" ht="13.5" x14ac:dyDescent="0.25">
      <c r="A10" s="337" t="s">
        <v>5</v>
      </c>
      <c r="B10" s="340" t="s">
        <v>6</v>
      </c>
      <c r="C10" s="340" t="s">
        <v>7</v>
      </c>
      <c r="D10" s="340" t="s">
        <v>8</v>
      </c>
      <c r="E10" s="340" t="s">
        <v>9</v>
      </c>
      <c r="F10" s="340" t="s">
        <v>10</v>
      </c>
      <c r="G10" s="337" t="s">
        <v>11</v>
      </c>
      <c r="H10" s="340" t="s">
        <v>12</v>
      </c>
      <c r="I10" s="340" t="s">
        <v>13</v>
      </c>
      <c r="J10" s="340" t="s">
        <v>14</v>
      </c>
      <c r="K10" s="30"/>
    </row>
    <row r="11" spans="1:12" ht="13.5" x14ac:dyDescent="0.2">
      <c r="A11" s="338"/>
      <c r="B11" s="340"/>
      <c r="C11" s="340"/>
      <c r="D11" s="340"/>
      <c r="E11" s="340"/>
      <c r="F11" s="340"/>
      <c r="G11" s="338"/>
      <c r="H11" s="340"/>
      <c r="I11" s="340"/>
      <c r="J11" s="340"/>
      <c r="K11" s="30"/>
    </row>
    <row r="12" spans="1:12" s="17" customFormat="1" ht="27" x14ac:dyDescent="0.25">
      <c r="A12" s="139" t="s">
        <v>18</v>
      </c>
      <c r="B12" s="10"/>
      <c r="C12" s="247" t="s">
        <v>143</v>
      </c>
      <c r="D12" s="11"/>
      <c r="E12" s="10"/>
      <c r="F12" s="12"/>
      <c r="G12" s="10"/>
      <c r="H12" s="196" t="s">
        <v>149</v>
      </c>
      <c r="I12" s="197" t="s">
        <v>151</v>
      </c>
      <c r="J12" s="197" t="s">
        <v>152</v>
      </c>
      <c r="K12" s="163"/>
    </row>
    <row r="13" spans="1:12" ht="40.5" x14ac:dyDescent="0.2">
      <c r="A13" s="139" t="s">
        <v>20</v>
      </c>
      <c r="B13" s="10"/>
      <c r="C13" s="10"/>
      <c r="D13" s="11"/>
      <c r="E13" s="10"/>
      <c r="F13" s="12"/>
      <c r="G13" s="10"/>
      <c r="H13" s="198" t="s">
        <v>153</v>
      </c>
      <c r="I13" s="197" t="s">
        <v>154</v>
      </c>
      <c r="J13" s="197" t="s">
        <v>155</v>
      </c>
      <c r="K13" s="163"/>
    </row>
    <row r="14" spans="1:12" ht="27" x14ac:dyDescent="0.2">
      <c r="A14" s="139" t="s">
        <v>21</v>
      </c>
      <c r="B14" s="10"/>
      <c r="C14" s="10"/>
      <c r="D14" s="11"/>
      <c r="E14" s="11"/>
      <c r="F14" s="12"/>
      <c r="G14" s="10"/>
      <c r="H14" s="198" t="s">
        <v>156</v>
      </c>
      <c r="I14" s="14"/>
      <c r="J14" s="197" t="s">
        <v>157</v>
      </c>
      <c r="K14" s="163"/>
    </row>
    <row r="15" spans="1:12" ht="27" x14ac:dyDescent="0.2">
      <c r="A15" s="139" t="s">
        <v>22</v>
      </c>
      <c r="B15" s="10"/>
      <c r="C15" s="10"/>
      <c r="D15" s="11"/>
      <c r="E15" s="11"/>
      <c r="F15" s="12"/>
      <c r="G15" s="10"/>
      <c r="H15" s="198" t="s">
        <v>158</v>
      </c>
      <c r="I15" s="14"/>
      <c r="J15" s="197" t="s">
        <v>159</v>
      </c>
      <c r="K15" s="163"/>
    </row>
    <row r="16" spans="1:12" ht="27" x14ac:dyDescent="0.2">
      <c r="A16" s="139" t="s">
        <v>23</v>
      </c>
      <c r="B16" s="10"/>
      <c r="C16" s="10"/>
      <c r="D16" s="11"/>
      <c r="E16" s="11"/>
      <c r="F16" s="12"/>
      <c r="G16" s="10"/>
      <c r="H16" s="198" t="s">
        <v>161</v>
      </c>
      <c r="I16" s="197"/>
      <c r="J16" s="197" t="s">
        <v>160</v>
      </c>
      <c r="K16" s="163"/>
    </row>
    <row r="17" spans="1:11" ht="40.5" x14ac:dyDescent="0.2">
      <c r="A17" s="139" t="s">
        <v>24</v>
      </c>
      <c r="B17" s="10"/>
      <c r="C17" s="10"/>
      <c r="D17" s="11"/>
      <c r="E17" s="10"/>
      <c r="F17" s="12"/>
      <c r="G17" s="10"/>
      <c r="H17" s="198" t="s">
        <v>162</v>
      </c>
      <c r="I17" s="197" t="s">
        <v>163</v>
      </c>
      <c r="J17" s="197" t="s">
        <v>164</v>
      </c>
      <c r="K17" s="163"/>
    </row>
    <row r="18" spans="1:11" ht="27" x14ac:dyDescent="0.2">
      <c r="A18" s="139" t="s">
        <v>25</v>
      </c>
      <c r="B18" s="10"/>
      <c r="C18" s="10"/>
      <c r="D18" s="11"/>
      <c r="E18" s="10"/>
      <c r="F18" s="12"/>
      <c r="G18" s="10"/>
      <c r="H18" s="198" t="s">
        <v>165</v>
      </c>
      <c r="I18" s="197" t="s">
        <v>166</v>
      </c>
      <c r="J18" s="14"/>
      <c r="K18" s="163"/>
    </row>
    <row r="19" spans="1:11" ht="27" x14ac:dyDescent="0.2">
      <c r="A19" s="139" t="s">
        <v>53</v>
      </c>
      <c r="B19" s="10"/>
      <c r="C19" s="10"/>
      <c r="D19" s="11"/>
      <c r="E19" s="11"/>
      <c r="F19" s="12"/>
      <c r="G19" s="14"/>
      <c r="H19" s="198" t="s">
        <v>168</v>
      </c>
      <c r="I19" s="14"/>
      <c r="J19" s="197" t="s">
        <v>167</v>
      </c>
      <c r="K19" s="163"/>
    </row>
    <row r="20" spans="1:11" ht="27" x14ac:dyDescent="0.2">
      <c r="A20" s="139" t="s">
        <v>27</v>
      </c>
      <c r="B20" s="10"/>
      <c r="C20" s="10"/>
      <c r="D20" s="11"/>
      <c r="E20" s="11"/>
      <c r="F20" s="12"/>
      <c r="G20" s="14"/>
      <c r="H20" s="198" t="s">
        <v>169</v>
      </c>
      <c r="I20" s="14"/>
      <c r="J20" s="14"/>
      <c r="K20" s="163"/>
    </row>
    <row r="21" spans="1:11" ht="27" x14ac:dyDescent="0.2">
      <c r="A21" s="139" t="s">
        <v>28</v>
      </c>
      <c r="B21" s="10"/>
      <c r="C21" s="10"/>
      <c r="D21" s="11"/>
      <c r="E21" s="11"/>
      <c r="F21" s="12"/>
      <c r="G21" s="14"/>
      <c r="H21" s="198" t="s">
        <v>170</v>
      </c>
      <c r="I21" s="14"/>
      <c r="J21" s="14"/>
      <c r="K21" s="163"/>
    </row>
    <row r="22" spans="1:11" ht="27" x14ac:dyDescent="0.2">
      <c r="A22" s="139" t="s">
        <v>29</v>
      </c>
      <c r="B22" s="10"/>
      <c r="C22" s="10"/>
      <c r="D22" s="11"/>
      <c r="E22" s="11"/>
      <c r="F22" s="12"/>
      <c r="G22" s="10"/>
      <c r="H22" s="198" t="s">
        <v>171</v>
      </c>
      <c r="I22" s="14"/>
      <c r="J22" s="197"/>
      <c r="K22" s="163"/>
    </row>
    <row r="23" spans="1:11" ht="27" x14ac:dyDescent="0.2">
      <c r="A23" s="139" t="s">
        <v>30</v>
      </c>
      <c r="B23" s="10"/>
      <c r="C23" s="10"/>
      <c r="D23" s="11"/>
      <c r="E23" s="10"/>
      <c r="F23" s="12"/>
      <c r="G23" s="10"/>
      <c r="H23" s="198" t="s">
        <v>172</v>
      </c>
      <c r="I23" s="197" t="s">
        <v>173</v>
      </c>
      <c r="J23" s="197" t="s">
        <v>174</v>
      </c>
      <c r="K23" s="163"/>
    </row>
    <row r="24" spans="1:11" s="5" customFormat="1" ht="13.5" x14ac:dyDescent="0.2">
      <c r="A24" s="20" t="s">
        <v>144</v>
      </c>
      <c r="B24" s="21">
        <f t="shared" ref="B24:J24" si="0">SUM(B12:B23)</f>
        <v>0</v>
      </c>
      <c r="C24" s="21">
        <f t="shared" si="0"/>
        <v>0</v>
      </c>
      <c r="D24" s="21">
        <f t="shared" si="0"/>
        <v>0</v>
      </c>
      <c r="E24" s="21">
        <f t="shared" si="0"/>
        <v>0</v>
      </c>
      <c r="F24" s="21">
        <f t="shared" si="0"/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0</v>
      </c>
      <c r="K24" s="164"/>
    </row>
    <row r="25" spans="1:11" s="17" customFormat="1" ht="27" x14ac:dyDescent="0.25">
      <c r="A25" s="139" t="s">
        <v>18</v>
      </c>
      <c r="B25" s="10"/>
      <c r="C25" s="247" t="s">
        <v>143</v>
      </c>
      <c r="D25" s="11"/>
      <c r="E25" s="10"/>
      <c r="F25" s="12"/>
      <c r="G25" s="10"/>
      <c r="H25" s="196" t="s">
        <v>98</v>
      </c>
      <c r="I25" s="197" t="s">
        <v>109</v>
      </c>
      <c r="J25" s="197" t="s">
        <v>123</v>
      </c>
      <c r="K25" s="163"/>
    </row>
    <row r="26" spans="1:11" ht="40.5" x14ac:dyDescent="0.2">
      <c r="A26" s="139" t="s">
        <v>20</v>
      </c>
      <c r="B26" s="10"/>
      <c r="C26" s="10"/>
      <c r="D26" s="11"/>
      <c r="E26" s="10"/>
      <c r="F26" s="12"/>
      <c r="G26" s="10"/>
      <c r="H26" s="198" t="s">
        <v>111</v>
      </c>
      <c r="I26" s="197" t="s">
        <v>110</v>
      </c>
      <c r="J26" s="197" t="s">
        <v>122</v>
      </c>
      <c r="K26" s="163"/>
    </row>
    <row r="27" spans="1:11" ht="27" x14ac:dyDescent="0.2">
      <c r="A27" s="139" t="s">
        <v>21</v>
      </c>
      <c r="B27" s="10"/>
      <c r="C27" s="10"/>
      <c r="D27" s="11"/>
      <c r="E27" s="11"/>
      <c r="F27" s="12"/>
      <c r="G27" s="10"/>
      <c r="H27" s="198" t="s">
        <v>99</v>
      </c>
      <c r="I27" s="14"/>
      <c r="J27" s="197" t="s">
        <v>112</v>
      </c>
      <c r="K27" s="163"/>
    </row>
    <row r="28" spans="1:11" ht="27" x14ac:dyDescent="0.2">
      <c r="A28" s="139" t="s">
        <v>22</v>
      </c>
      <c r="B28" s="10"/>
      <c r="C28" s="10"/>
      <c r="D28" s="11"/>
      <c r="E28" s="11"/>
      <c r="F28" s="12"/>
      <c r="G28" s="10"/>
      <c r="H28" s="198" t="s">
        <v>100</v>
      </c>
      <c r="I28" s="14"/>
      <c r="J28" s="197" t="s">
        <v>113</v>
      </c>
      <c r="K28" s="163"/>
    </row>
    <row r="29" spans="1:11" ht="27" x14ac:dyDescent="0.2">
      <c r="A29" s="139" t="s">
        <v>23</v>
      </c>
      <c r="B29" s="10"/>
      <c r="C29" s="10"/>
      <c r="D29" s="11"/>
      <c r="E29" s="11"/>
      <c r="F29" s="12"/>
      <c r="G29" s="10"/>
      <c r="H29" s="198" t="s">
        <v>101</v>
      </c>
      <c r="I29" s="197"/>
      <c r="J29" s="197" t="s">
        <v>114</v>
      </c>
      <c r="K29" s="163"/>
    </row>
    <row r="30" spans="1:11" ht="40.5" x14ac:dyDescent="0.2">
      <c r="A30" s="139" t="s">
        <v>24</v>
      </c>
      <c r="B30" s="10"/>
      <c r="C30" s="10"/>
      <c r="D30" s="11"/>
      <c r="E30" s="10"/>
      <c r="F30" s="12"/>
      <c r="G30" s="10"/>
      <c r="H30" s="198" t="s">
        <v>102</v>
      </c>
      <c r="I30" s="197" t="s">
        <v>116</v>
      </c>
      <c r="J30" s="197" t="s">
        <v>117</v>
      </c>
      <c r="K30" s="163"/>
    </row>
    <row r="31" spans="1:11" ht="27" x14ac:dyDescent="0.2">
      <c r="A31" s="139" t="s">
        <v>25</v>
      </c>
      <c r="B31" s="10"/>
      <c r="C31" s="10"/>
      <c r="D31" s="11"/>
      <c r="E31" s="10"/>
      <c r="F31" s="12"/>
      <c r="G31" s="10"/>
      <c r="H31" s="198" t="s">
        <v>103</v>
      </c>
      <c r="I31" s="197" t="s">
        <v>115</v>
      </c>
      <c r="J31" s="14"/>
      <c r="K31" s="163"/>
    </row>
    <row r="32" spans="1:11" ht="27" x14ac:dyDescent="0.2">
      <c r="A32" s="139" t="s">
        <v>53</v>
      </c>
      <c r="B32" s="10"/>
      <c r="C32" s="10"/>
      <c r="D32" s="11"/>
      <c r="E32" s="11"/>
      <c r="F32" s="12"/>
      <c r="G32" s="14"/>
      <c r="H32" s="198" t="s">
        <v>104</v>
      </c>
      <c r="I32" s="14"/>
      <c r="J32" s="197" t="s">
        <v>76</v>
      </c>
      <c r="K32" s="163"/>
    </row>
    <row r="33" spans="1:11" ht="27" x14ac:dyDescent="0.2">
      <c r="A33" s="139" t="s">
        <v>27</v>
      </c>
      <c r="B33" s="10"/>
      <c r="C33" s="10"/>
      <c r="D33" s="11"/>
      <c r="E33" s="11"/>
      <c r="F33" s="12"/>
      <c r="G33" s="14"/>
      <c r="H33" s="198" t="s">
        <v>105</v>
      </c>
      <c r="I33" s="14"/>
      <c r="J33" s="14"/>
      <c r="K33" s="163"/>
    </row>
    <row r="34" spans="1:11" ht="27" x14ac:dyDescent="0.2">
      <c r="A34" s="139" t="s">
        <v>28</v>
      </c>
      <c r="B34" s="10"/>
      <c r="C34" s="10"/>
      <c r="D34" s="11"/>
      <c r="E34" s="11"/>
      <c r="F34" s="12"/>
      <c r="G34" s="14"/>
      <c r="H34" s="198" t="s">
        <v>106</v>
      </c>
      <c r="I34" s="14"/>
      <c r="J34" s="14"/>
      <c r="K34" s="163"/>
    </row>
    <row r="35" spans="1:11" ht="27" x14ac:dyDescent="0.2">
      <c r="A35" s="139" t="s">
        <v>29</v>
      </c>
      <c r="B35" s="10"/>
      <c r="C35" s="10"/>
      <c r="D35" s="11"/>
      <c r="E35" s="11"/>
      <c r="F35" s="12"/>
      <c r="G35" s="10"/>
      <c r="H35" s="198" t="s">
        <v>107</v>
      </c>
      <c r="I35" s="14"/>
      <c r="J35" s="197"/>
      <c r="K35" s="163"/>
    </row>
    <row r="36" spans="1:11" ht="27" x14ac:dyDescent="0.2">
      <c r="A36" s="139" t="s">
        <v>30</v>
      </c>
      <c r="B36" s="10"/>
      <c r="C36" s="10"/>
      <c r="D36" s="11"/>
      <c r="E36" s="10"/>
      <c r="F36" s="12"/>
      <c r="G36" s="10"/>
      <c r="H36" s="198" t="s">
        <v>108</v>
      </c>
      <c r="I36" s="197" t="s">
        <v>118</v>
      </c>
      <c r="J36" s="197" t="s">
        <v>119</v>
      </c>
      <c r="K36" s="163"/>
    </row>
    <row r="37" spans="1:11" s="5" customFormat="1" ht="13.5" x14ac:dyDescent="0.2">
      <c r="A37" s="20" t="s">
        <v>60</v>
      </c>
      <c r="B37" s="21">
        <f t="shared" ref="B37:J37" si="1">SUM(B25:B36)</f>
        <v>0</v>
      </c>
      <c r="C37" s="21">
        <f t="shared" si="1"/>
        <v>0</v>
      </c>
      <c r="D37" s="21">
        <f t="shared" si="1"/>
        <v>0</v>
      </c>
      <c r="E37" s="21">
        <f t="shared" si="1"/>
        <v>0</v>
      </c>
      <c r="F37" s="21">
        <f t="shared" si="1"/>
        <v>0</v>
      </c>
      <c r="G37" s="21">
        <f t="shared" si="1"/>
        <v>0</v>
      </c>
      <c r="H37" s="21">
        <f t="shared" si="1"/>
        <v>0</v>
      </c>
      <c r="I37" s="21">
        <f t="shared" si="1"/>
        <v>0</v>
      </c>
      <c r="J37" s="21">
        <f t="shared" si="1"/>
        <v>0</v>
      </c>
      <c r="K37" s="164"/>
    </row>
    <row r="38" spans="1:11" s="17" customFormat="1" ht="27" x14ac:dyDescent="0.25">
      <c r="A38" s="139" t="s">
        <v>18</v>
      </c>
      <c r="B38" s="10"/>
      <c r="C38" s="247" t="s">
        <v>143</v>
      </c>
      <c r="D38" s="11"/>
      <c r="E38" s="10"/>
      <c r="F38" s="12"/>
      <c r="G38" s="10"/>
      <c r="H38" s="196" t="s">
        <v>98</v>
      </c>
      <c r="I38" s="197" t="s">
        <v>109</v>
      </c>
      <c r="J38" s="197" t="s">
        <v>123</v>
      </c>
      <c r="K38" s="163"/>
    </row>
    <row r="39" spans="1:11" ht="40.5" x14ac:dyDescent="0.2">
      <c r="A39" s="139" t="s">
        <v>20</v>
      </c>
      <c r="B39" s="10"/>
      <c r="C39" s="10"/>
      <c r="D39" s="11"/>
      <c r="E39" s="10"/>
      <c r="F39" s="12"/>
      <c r="G39" s="10"/>
      <c r="H39" s="198" t="s">
        <v>111</v>
      </c>
      <c r="I39" s="197" t="s">
        <v>110</v>
      </c>
      <c r="J39" s="197" t="s">
        <v>122</v>
      </c>
      <c r="K39" s="163"/>
    </row>
    <row r="40" spans="1:11" ht="27" x14ac:dyDescent="0.2">
      <c r="A40" s="139" t="s">
        <v>21</v>
      </c>
      <c r="B40" s="10"/>
      <c r="C40" s="10"/>
      <c r="D40" s="11"/>
      <c r="E40" s="11"/>
      <c r="F40" s="12"/>
      <c r="G40" s="10"/>
      <c r="H40" s="198" t="s">
        <v>99</v>
      </c>
      <c r="I40" s="14"/>
      <c r="J40" s="197" t="s">
        <v>112</v>
      </c>
      <c r="K40" s="163"/>
    </row>
    <row r="41" spans="1:11" ht="27" x14ac:dyDescent="0.2">
      <c r="A41" s="139" t="s">
        <v>22</v>
      </c>
      <c r="B41" s="10"/>
      <c r="C41" s="10"/>
      <c r="D41" s="11"/>
      <c r="E41" s="11"/>
      <c r="F41" s="12"/>
      <c r="G41" s="10"/>
      <c r="H41" s="198" t="s">
        <v>100</v>
      </c>
      <c r="I41" s="14"/>
      <c r="J41" s="197" t="s">
        <v>113</v>
      </c>
      <c r="K41" s="163"/>
    </row>
    <row r="42" spans="1:11" ht="27" x14ac:dyDescent="0.2">
      <c r="A42" s="139" t="s">
        <v>23</v>
      </c>
      <c r="B42" s="10"/>
      <c r="C42" s="10"/>
      <c r="D42" s="11"/>
      <c r="E42" s="11"/>
      <c r="F42" s="12"/>
      <c r="G42" s="10"/>
      <c r="H42" s="198" t="s">
        <v>101</v>
      </c>
      <c r="I42" s="197"/>
      <c r="J42" s="197" t="s">
        <v>114</v>
      </c>
      <c r="K42" s="163"/>
    </row>
    <row r="43" spans="1:11" ht="40.5" x14ac:dyDescent="0.2">
      <c r="A43" s="139" t="s">
        <v>24</v>
      </c>
      <c r="B43" s="10"/>
      <c r="C43" s="10"/>
      <c r="D43" s="11"/>
      <c r="E43" s="10"/>
      <c r="F43" s="12"/>
      <c r="G43" s="10"/>
      <c r="H43" s="198" t="s">
        <v>102</v>
      </c>
      <c r="I43" s="197" t="s">
        <v>116</v>
      </c>
      <c r="J43" s="197" t="s">
        <v>117</v>
      </c>
      <c r="K43" s="163"/>
    </row>
    <row r="44" spans="1:11" ht="27" x14ac:dyDescent="0.2">
      <c r="A44" s="139" t="s">
        <v>25</v>
      </c>
      <c r="B44" s="10"/>
      <c r="C44" s="10"/>
      <c r="D44" s="11"/>
      <c r="E44" s="10"/>
      <c r="F44" s="12"/>
      <c r="G44" s="10"/>
      <c r="H44" s="198" t="s">
        <v>103</v>
      </c>
      <c r="I44" s="197" t="s">
        <v>115</v>
      </c>
      <c r="J44" s="14"/>
      <c r="K44" s="163"/>
    </row>
    <row r="45" spans="1:11" ht="27" x14ac:dyDescent="0.2">
      <c r="A45" s="139" t="s">
        <v>53</v>
      </c>
      <c r="B45" s="10"/>
      <c r="C45" s="10"/>
      <c r="D45" s="11"/>
      <c r="E45" s="11"/>
      <c r="F45" s="12"/>
      <c r="G45" s="14"/>
      <c r="H45" s="198" t="s">
        <v>104</v>
      </c>
      <c r="I45" s="14"/>
      <c r="J45" s="197" t="s">
        <v>76</v>
      </c>
      <c r="K45" s="163"/>
    </row>
    <row r="46" spans="1:11" ht="27" x14ac:dyDescent="0.2">
      <c r="A46" s="139" t="s">
        <v>27</v>
      </c>
      <c r="B46" s="10"/>
      <c r="C46" s="10"/>
      <c r="D46" s="11"/>
      <c r="E46" s="11"/>
      <c r="F46" s="12"/>
      <c r="G46" s="14"/>
      <c r="H46" s="198" t="s">
        <v>105</v>
      </c>
      <c r="I46" s="14"/>
      <c r="J46" s="14"/>
      <c r="K46" s="163"/>
    </row>
    <row r="47" spans="1:11" ht="27" x14ac:dyDescent="0.2">
      <c r="A47" s="139" t="s">
        <v>28</v>
      </c>
      <c r="B47" s="10"/>
      <c r="C47" s="10"/>
      <c r="D47" s="11"/>
      <c r="E47" s="11"/>
      <c r="F47" s="12"/>
      <c r="G47" s="14"/>
      <c r="H47" s="198" t="s">
        <v>106</v>
      </c>
      <c r="I47" s="14"/>
      <c r="J47" s="14"/>
      <c r="K47" s="163"/>
    </row>
    <row r="48" spans="1:11" ht="27" x14ac:dyDescent="0.2">
      <c r="A48" s="139" t="s">
        <v>29</v>
      </c>
      <c r="B48" s="10"/>
      <c r="C48" s="10"/>
      <c r="D48" s="11"/>
      <c r="E48" s="11"/>
      <c r="F48" s="12"/>
      <c r="G48" s="10"/>
      <c r="H48" s="198" t="s">
        <v>107</v>
      </c>
      <c r="I48" s="14"/>
      <c r="J48" s="197"/>
      <c r="K48" s="163"/>
    </row>
    <row r="49" spans="1:11" ht="27" x14ac:dyDescent="0.2">
      <c r="A49" s="139" t="s">
        <v>30</v>
      </c>
      <c r="B49" s="10"/>
      <c r="C49" s="10"/>
      <c r="D49" s="11"/>
      <c r="E49" s="10"/>
      <c r="F49" s="12"/>
      <c r="G49" s="10"/>
      <c r="H49" s="198" t="s">
        <v>108</v>
      </c>
      <c r="I49" s="197" t="s">
        <v>118</v>
      </c>
      <c r="J49" s="197" t="s">
        <v>119</v>
      </c>
      <c r="K49" s="163"/>
    </row>
    <row r="50" spans="1:11" ht="27" x14ac:dyDescent="0.2">
      <c r="A50" s="139" t="s">
        <v>56</v>
      </c>
      <c r="B50" s="10"/>
      <c r="C50" s="10"/>
      <c r="D50" s="11"/>
      <c r="E50" s="10"/>
      <c r="F50" s="12"/>
      <c r="G50" s="10"/>
      <c r="H50" s="198" t="s">
        <v>84</v>
      </c>
      <c r="I50" s="14"/>
      <c r="J50" s="197" t="s">
        <v>85</v>
      </c>
      <c r="K50" s="163"/>
    </row>
    <row r="51" spans="1:11" ht="54" x14ac:dyDescent="0.2">
      <c r="A51" s="139" t="s">
        <v>58</v>
      </c>
      <c r="B51" s="10"/>
      <c r="C51" s="10"/>
      <c r="D51" s="11"/>
      <c r="E51" s="10"/>
      <c r="F51" s="12"/>
      <c r="G51" s="10"/>
      <c r="H51" s="198" t="s">
        <v>86</v>
      </c>
      <c r="I51" s="14"/>
      <c r="J51" s="197" t="s">
        <v>87</v>
      </c>
      <c r="K51" s="163"/>
    </row>
    <row r="52" spans="1:11" ht="54" x14ac:dyDescent="0.2">
      <c r="A52" s="139" t="s">
        <v>57</v>
      </c>
      <c r="B52" s="10"/>
      <c r="C52" s="10"/>
      <c r="D52" s="11"/>
      <c r="E52" s="10"/>
      <c r="F52" s="12"/>
      <c r="G52" s="10"/>
      <c r="H52" s="198" t="s">
        <v>88</v>
      </c>
      <c r="I52" s="14"/>
      <c r="J52" s="197" t="s">
        <v>89</v>
      </c>
      <c r="K52" s="163"/>
    </row>
    <row r="53" spans="1:11" s="5" customFormat="1" ht="13.5" x14ac:dyDescent="0.2">
      <c r="A53" s="20" t="s">
        <v>51</v>
      </c>
      <c r="B53" s="21">
        <f t="shared" ref="B53:J53" si="2">SUM(B38:B49)</f>
        <v>0</v>
      </c>
      <c r="C53" s="21">
        <f t="shared" si="2"/>
        <v>0</v>
      </c>
      <c r="D53" s="21">
        <f t="shared" si="2"/>
        <v>0</v>
      </c>
      <c r="E53" s="21">
        <f t="shared" si="2"/>
        <v>0</v>
      </c>
      <c r="F53" s="21">
        <f t="shared" si="2"/>
        <v>0</v>
      </c>
      <c r="G53" s="21">
        <f t="shared" si="2"/>
        <v>0</v>
      </c>
      <c r="H53" s="21">
        <f t="shared" si="2"/>
        <v>0</v>
      </c>
      <c r="I53" s="21">
        <f t="shared" si="2"/>
        <v>0</v>
      </c>
      <c r="J53" s="21">
        <f t="shared" si="2"/>
        <v>0</v>
      </c>
      <c r="K53" s="164"/>
    </row>
    <row r="54" spans="1:11" s="17" customFormat="1" ht="27" x14ac:dyDescent="0.25">
      <c r="A54" s="139" t="s">
        <v>18</v>
      </c>
      <c r="B54" s="10"/>
      <c r="C54" s="10"/>
      <c r="D54" s="11"/>
      <c r="E54" s="10"/>
      <c r="F54" s="12"/>
      <c r="G54" s="10"/>
      <c r="H54" s="13"/>
      <c r="I54" s="199" t="s">
        <v>90</v>
      </c>
      <c r="J54" s="197" t="s">
        <v>120</v>
      </c>
      <c r="K54" s="163"/>
    </row>
    <row r="55" spans="1:11" ht="40.5" x14ac:dyDescent="0.2">
      <c r="A55" s="139" t="s">
        <v>20</v>
      </c>
      <c r="B55" s="10"/>
      <c r="C55" s="10"/>
      <c r="D55" s="11"/>
      <c r="E55" s="10"/>
      <c r="F55" s="12"/>
      <c r="G55" s="10"/>
      <c r="H55" s="13"/>
      <c r="I55" s="199" t="s">
        <v>91</v>
      </c>
      <c r="J55" s="197" t="s">
        <v>92</v>
      </c>
      <c r="K55" s="163"/>
    </row>
    <row r="56" spans="1:11" ht="13.5" x14ac:dyDescent="0.2">
      <c r="A56" s="139" t="s">
        <v>21</v>
      </c>
      <c r="B56" s="10"/>
      <c r="C56" s="10"/>
      <c r="D56" s="11"/>
      <c r="E56" s="10"/>
      <c r="F56" s="12"/>
      <c r="G56" s="10"/>
      <c r="H56" s="13"/>
      <c r="I56" s="199"/>
      <c r="J56" s="14"/>
      <c r="K56" s="163"/>
    </row>
    <row r="57" spans="1:11" ht="13.5" x14ac:dyDescent="0.2">
      <c r="A57" s="139" t="s">
        <v>22</v>
      </c>
      <c r="B57" s="10"/>
      <c r="C57" s="10"/>
      <c r="D57" s="10"/>
      <c r="E57" s="10"/>
      <c r="F57" s="12"/>
      <c r="G57" s="10"/>
      <c r="H57" s="13"/>
      <c r="I57" s="199"/>
      <c r="J57" s="14"/>
      <c r="K57" s="163"/>
    </row>
    <row r="58" spans="1:11" ht="13.5" x14ac:dyDescent="0.2">
      <c r="A58" s="139" t="s">
        <v>23</v>
      </c>
      <c r="B58" s="10"/>
      <c r="C58" s="10"/>
      <c r="D58" s="10"/>
      <c r="E58" s="10"/>
      <c r="F58" s="12"/>
      <c r="G58" s="10"/>
      <c r="H58" s="13"/>
      <c r="I58" s="199"/>
      <c r="J58" s="14"/>
      <c r="K58" s="163"/>
    </row>
    <row r="59" spans="1:11" ht="40.5" x14ac:dyDescent="0.2">
      <c r="A59" s="139" t="s">
        <v>24</v>
      </c>
      <c r="B59" s="10"/>
      <c r="C59" s="10"/>
      <c r="D59" s="11"/>
      <c r="E59" s="10"/>
      <c r="F59" s="12"/>
      <c r="G59" s="10"/>
      <c r="H59" s="13"/>
      <c r="I59" s="199" t="s">
        <v>93</v>
      </c>
      <c r="J59" s="197" t="s">
        <v>121</v>
      </c>
      <c r="K59" s="163"/>
    </row>
    <row r="60" spans="1:11" ht="13.5" x14ac:dyDescent="0.2">
      <c r="A60" s="139" t="s">
        <v>25</v>
      </c>
      <c r="B60" s="10"/>
      <c r="C60" s="10"/>
      <c r="D60" s="10"/>
      <c r="E60" s="10"/>
      <c r="F60" s="12"/>
      <c r="G60" s="10"/>
      <c r="H60" s="13"/>
      <c r="I60" s="199"/>
      <c r="J60" s="14"/>
      <c r="K60" s="163"/>
    </row>
    <row r="61" spans="1:11" ht="13.5" x14ac:dyDescent="0.2">
      <c r="A61" s="139" t="s">
        <v>27</v>
      </c>
      <c r="B61" s="10"/>
      <c r="C61" s="10"/>
      <c r="D61" s="11"/>
      <c r="E61" s="10"/>
      <c r="F61" s="12"/>
      <c r="G61" s="10"/>
      <c r="H61" s="13"/>
      <c r="I61" s="199"/>
      <c r="J61" s="14"/>
      <c r="K61" s="163"/>
    </row>
    <row r="62" spans="1:11" ht="13.5" x14ac:dyDescent="0.2">
      <c r="A62" s="139" t="s">
        <v>28</v>
      </c>
      <c r="B62" s="10"/>
      <c r="C62" s="10"/>
      <c r="D62" s="11"/>
      <c r="E62" s="10"/>
      <c r="F62" s="12"/>
      <c r="G62" s="10"/>
      <c r="H62" s="13"/>
      <c r="I62" s="199"/>
      <c r="J62" s="14"/>
      <c r="K62" s="163"/>
    </row>
    <row r="63" spans="1:11" ht="54" x14ac:dyDescent="0.2">
      <c r="A63" s="139" t="s">
        <v>29</v>
      </c>
      <c r="B63" s="10"/>
      <c r="C63" s="10"/>
      <c r="D63" s="45"/>
      <c r="E63" s="10"/>
      <c r="F63" s="12"/>
      <c r="G63" s="10"/>
      <c r="H63" s="13"/>
      <c r="I63" s="200" t="s">
        <v>94</v>
      </c>
      <c r="J63" s="197" t="s">
        <v>95</v>
      </c>
      <c r="K63" s="163"/>
    </row>
    <row r="64" spans="1:11" ht="27" x14ac:dyDescent="0.2">
      <c r="A64" s="139" t="s">
        <v>30</v>
      </c>
      <c r="B64" s="10"/>
      <c r="C64" s="10"/>
      <c r="D64" s="10"/>
      <c r="E64" s="10"/>
      <c r="F64" s="12"/>
      <c r="G64" s="10"/>
      <c r="H64" s="13"/>
      <c r="I64" s="200" t="s">
        <v>96</v>
      </c>
      <c r="J64" s="197" t="s">
        <v>97</v>
      </c>
      <c r="K64" s="163"/>
    </row>
    <row r="65" spans="1:11" s="5" customFormat="1" ht="13.5" x14ac:dyDescent="0.2">
      <c r="A65" s="20" t="s">
        <v>33</v>
      </c>
      <c r="B65" s="21">
        <f>SUM(B54:B64)</f>
        <v>0</v>
      </c>
      <c r="C65" s="21">
        <f>SUM(C54:C64)</f>
        <v>0</v>
      </c>
      <c r="D65" s="21">
        <f>SUM(D54:D64)</f>
        <v>0</v>
      </c>
      <c r="E65" s="21">
        <f>SUM(E54:E64)</f>
        <v>0</v>
      </c>
      <c r="F65" s="22" t="e">
        <f>+E65/C65</f>
        <v>#DIV/0!</v>
      </c>
      <c r="G65" s="21">
        <f>SUM(G54:G64)</f>
        <v>0</v>
      </c>
      <c r="H65" s="21">
        <f>SUM(H54:H64)</f>
        <v>0</v>
      </c>
      <c r="I65" s="21">
        <f>SUM(I54:I64)</f>
        <v>0</v>
      </c>
      <c r="J65" s="21">
        <f>SUM(J54:J64)</f>
        <v>0</v>
      </c>
      <c r="K65" s="164"/>
    </row>
    <row r="66" spans="1:11" ht="13.5" x14ac:dyDescent="0.25">
      <c r="A66" s="28"/>
      <c r="B66" s="29"/>
      <c r="C66" s="29"/>
      <c r="D66" s="29"/>
      <c r="E66" s="28"/>
      <c r="F66" s="28"/>
      <c r="G66" s="28"/>
      <c r="H66" s="28"/>
      <c r="I66" s="28"/>
      <c r="J66" s="28"/>
      <c r="K66" s="30"/>
    </row>
    <row r="67" spans="1:11" x14ac:dyDescent="0.2">
      <c r="A67" s="140"/>
      <c r="B67" s="19"/>
      <c r="C67" s="333" t="s">
        <v>45</v>
      </c>
      <c r="D67" s="333"/>
      <c r="E67" s="333"/>
      <c r="F67" s="333"/>
      <c r="G67" s="333"/>
      <c r="H67" s="333"/>
      <c r="I67" s="333"/>
      <c r="J67" s="19"/>
      <c r="K67" s="19"/>
    </row>
    <row r="68" spans="1:11" x14ac:dyDescent="0.2">
      <c r="A68" s="140"/>
      <c r="B68" s="19"/>
      <c r="C68" s="255"/>
      <c r="D68" s="255"/>
      <c r="E68" s="255"/>
      <c r="F68" s="255"/>
      <c r="G68" s="255"/>
      <c r="H68" s="255"/>
      <c r="I68" s="255"/>
      <c r="J68" s="19"/>
      <c r="K68" s="19"/>
    </row>
    <row r="69" spans="1:11" ht="13.5" x14ac:dyDescent="0.25">
      <c r="A69" s="140"/>
      <c r="B69" s="325" t="s">
        <v>46</v>
      </c>
      <c r="C69" s="325"/>
      <c r="D69" s="326" t="s">
        <v>47</v>
      </c>
      <c r="E69" s="327"/>
      <c r="F69" s="328"/>
      <c r="G69" s="320" t="s">
        <v>48</v>
      </c>
      <c r="H69" s="320"/>
      <c r="I69" s="253" t="s">
        <v>10</v>
      </c>
      <c r="J69" s="19"/>
      <c r="K69" s="19"/>
    </row>
    <row r="70" spans="1:11" ht="13.5" x14ac:dyDescent="0.25">
      <c r="A70" s="140"/>
      <c r="B70" s="329" t="s">
        <v>49</v>
      </c>
      <c r="C70" s="329"/>
      <c r="D70" s="330"/>
      <c r="E70" s="331"/>
      <c r="F70" s="332"/>
      <c r="G70" s="330">
        <f>+D70</f>
        <v>0</v>
      </c>
      <c r="H70" s="332"/>
      <c r="I70" s="33"/>
      <c r="J70" s="19"/>
      <c r="K70" s="19"/>
    </row>
    <row r="71" spans="1:11" ht="13.5" x14ac:dyDescent="0.25">
      <c r="A71" s="140"/>
      <c r="B71" s="320"/>
      <c r="C71" s="320"/>
      <c r="D71" s="321"/>
      <c r="E71" s="322"/>
      <c r="F71" s="323"/>
      <c r="G71" s="324"/>
      <c r="H71" s="324"/>
      <c r="I71" s="254"/>
      <c r="J71" s="19"/>
      <c r="K71" s="19"/>
    </row>
    <row r="72" spans="1:11" ht="13.5" x14ac:dyDescent="0.25">
      <c r="A72" s="140"/>
      <c r="B72" s="320"/>
      <c r="C72" s="320"/>
      <c r="D72" s="321"/>
      <c r="E72" s="322"/>
      <c r="F72" s="323"/>
      <c r="G72" s="324"/>
      <c r="H72" s="324"/>
      <c r="I72" s="254"/>
      <c r="J72" s="19"/>
      <c r="K72" s="19"/>
    </row>
    <row r="73" spans="1:11" ht="13.5" x14ac:dyDescent="0.25">
      <c r="A73" s="140"/>
      <c r="B73" s="320"/>
      <c r="C73" s="320"/>
      <c r="D73" s="321"/>
      <c r="E73" s="322"/>
      <c r="F73" s="323"/>
      <c r="G73" s="324"/>
      <c r="H73" s="324"/>
      <c r="I73" s="254"/>
      <c r="J73" s="19"/>
      <c r="K73" s="19"/>
    </row>
    <row r="74" spans="1:11" ht="13.5" x14ac:dyDescent="0.25">
      <c r="A74" s="35" t="s">
        <v>50</v>
      </c>
      <c r="B74" s="36"/>
      <c r="C74" s="36"/>
      <c r="D74" s="36"/>
      <c r="E74" s="36"/>
      <c r="F74" s="36"/>
      <c r="G74" s="37"/>
      <c r="H74" s="37"/>
      <c r="I74" s="38"/>
      <c r="J74" s="19"/>
      <c r="K74" s="19"/>
    </row>
  </sheetData>
  <mergeCells count="33">
    <mergeCell ref="C9:G9"/>
    <mergeCell ref="H9:J9"/>
    <mergeCell ref="A1:L1"/>
    <mergeCell ref="A3:L3"/>
    <mergeCell ref="A4:L4"/>
    <mergeCell ref="A7:J7"/>
    <mergeCell ref="A8:J8"/>
    <mergeCell ref="A10:A11"/>
    <mergeCell ref="B10:B11"/>
    <mergeCell ref="C10:C11"/>
    <mergeCell ref="D10:D11"/>
    <mergeCell ref="E10:E11"/>
    <mergeCell ref="I10:I11"/>
    <mergeCell ref="J10:J11"/>
    <mergeCell ref="C67:I67"/>
    <mergeCell ref="B70:C70"/>
    <mergeCell ref="D70:F70"/>
    <mergeCell ref="G70:H70"/>
    <mergeCell ref="B69:C69"/>
    <mergeCell ref="D69:F69"/>
    <mergeCell ref="G69:H69"/>
    <mergeCell ref="F10:F11"/>
    <mergeCell ref="G10:G11"/>
    <mergeCell ref="H10:H11"/>
    <mergeCell ref="B73:C73"/>
    <mergeCell ref="D73:F73"/>
    <mergeCell ref="G73:H73"/>
    <mergeCell ref="B71:C71"/>
    <mergeCell ref="D71:F71"/>
    <mergeCell ref="G71:H71"/>
    <mergeCell ref="B72:C72"/>
    <mergeCell ref="D72:F72"/>
    <mergeCell ref="G72:H7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61"/>
  <sheetViews>
    <sheetView topLeftCell="A4" workbookViewId="0">
      <selection activeCell="K24" sqref="K24"/>
    </sheetView>
  </sheetViews>
  <sheetFormatPr baseColWidth="10" defaultColWidth="16.5703125" defaultRowHeight="12.75" x14ac:dyDescent="0.2"/>
  <cols>
    <col min="1" max="1" width="16.5703125" style="5" customWidth="1"/>
    <col min="2" max="2" width="11.5703125" style="1" customWidth="1"/>
    <col min="3" max="3" width="9" style="1" customWidth="1"/>
    <col min="4" max="4" width="12.7109375" style="1" customWidth="1"/>
    <col min="5" max="5" width="9.85546875" style="1" customWidth="1"/>
    <col min="6" max="6" width="6.5703125" style="1" bestFit="1" customWidth="1"/>
    <col min="7" max="7" width="10.7109375" style="1" customWidth="1"/>
    <col min="8" max="8" width="14.42578125" style="1" customWidth="1"/>
    <col min="9" max="9" width="13.7109375" style="1" customWidth="1"/>
    <col min="10" max="10" width="15.7109375" style="1" customWidth="1"/>
    <col min="11" max="238" width="16.5703125" style="1"/>
    <col min="239" max="239" width="16.5703125" style="1" customWidth="1"/>
    <col min="240" max="243" width="12.7109375" style="1" customWidth="1"/>
    <col min="244" max="244" width="6.5703125" style="1" bestFit="1" customWidth="1"/>
    <col min="245" max="249" width="12.7109375" style="1" customWidth="1"/>
    <col min="250" max="494" width="16.5703125" style="1"/>
    <col min="495" max="495" width="16.5703125" style="1" customWidth="1"/>
    <col min="496" max="499" width="12.7109375" style="1" customWidth="1"/>
    <col min="500" max="500" width="6.5703125" style="1" bestFit="1" customWidth="1"/>
    <col min="501" max="505" width="12.7109375" style="1" customWidth="1"/>
    <col min="506" max="750" width="16.5703125" style="1"/>
    <col min="751" max="751" width="16.5703125" style="1" customWidth="1"/>
    <col min="752" max="755" width="12.7109375" style="1" customWidth="1"/>
    <col min="756" max="756" width="6.5703125" style="1" bestFit="1" customWidth="1"/>
    <col min="757" max="761" width="12.7109375" style="1" customWidth="1"/>
    <col min="762" max="1006" width="16.5703125" style="1"/>
    <col min="1007" max="1007" width="16.5703125" style="1" customWidth="1"/>
    <col min="1008" max="1011" width="12.7109375" style="1" customWidth="1"/>
    <col min="1012" max="1012" width="6.5703125" style="1" bestFit="1" customWidth="1"/>
    <col min="1013" max="1017" width="12.7109375" style="1" customWidth="1"/>
    <col min="1018" max="1262" width="16.5703125" style="1"/>
    <col min="1263" max="1263" width="16.5703125" style="1" customWidth="1"/>
    <col min="1264" max="1267" width="12.7109375" style="1" customWidth="1"/>
    <col min="1268" max="1268" width="6.5703125" style="1" bestFit="1" customWidth="1"/>
    <col min="1269" max="1273" width="12.7109375" style="1" customWidth="1"/>
    <col min="1274" max="1518" width="16.5703125" style="1"/>
    <col min="1519" max="1519" width="16.5703125" style="1" customWidth="1"/>
    <col min="1520" max="1523" width="12.7109375" style="1" customWidth="1"/>
    <col min="1524" max="1524" width="6.5703125" style="1" bestFit="1" customWidth="1"/>
    <col min="1525" max="1529" width="12.7109375" style="1" customWidth="1"/>
    <col min="1530" max="1774" width="16.5703125" style="1"/>
    <col min="1775" max="1775" width="16.5703125" style="1" customWidth="1"/>
    <col min="1776" max="1779" width="12.7109375" style="1" customWidth="1"/>
    <col min="1780" max="1780" width="6.5703125" style="1" bestFit="1" customWidth="1"/>
    <col min="1781" max="1785" width="12.7109375" style="1" customWidth="1"/>
    <col min="1786" max="2030" width="16.5703125" style="1"/>
    <col min="2031" max="2031" width="16.5703125" style="1" customWidth="1"/>
    <col min="2032" max="2035" width="12.7109375" style="1" customWidth="1"/>
    <col min="2036" max="2036" width="6.5703125" style="1" bestFit="1" customWidth="1"/>
    <col min="2037" max="2041" width="12.7109375" style="1" customWidth="1"/>
    <col min="2042" max="2286" width="16.5703125" style="1"/>
    <col min="2287" max="2287" width="16.5703125" style="1" customWidth="1"/>
    <col min="2288" max="2291" width="12.7109375" style="1" customWidth="1"/>
    <col min="2292" max="2292" width="6.5703125" style="1" bestFit="1" customWidth="1"/>
    <col min="2293" max="2297" width="12.7109375" style="1" customWidth="1"/>
    <col min="2298" max="2542" width="16.5703125" style="1"/>
    <col min="2543" max="2543" width="16.5703125" style="1" customWidth="1"/>
    <col min="2544" max="2547" width="12.7109375" style="1" customWidth="1"/>
    <col min="2548" max="2548" width="6.5703125" style="1" bestFit="1" customWidth="1"/>
    <col min="2549" max="2553" width="12.7109375" style="1" customWidth="1"/>
    <col min="2554" max="2798" width="16.5703125" style="1"/>
    <col min="2799" max="2799" width="16.5703125" style="1" customWidth="1"/>
    <col min="2800" max="2803" width="12.7109375" style="1" customWidth="1"/>
    <col min="2804" max="2804" width="6.5703125" style="1" bestFit="1" customWidth="1"/>
    <col min="2805" max="2809" width="12.7109375" style="1" customWidth="1"/>
    <col min="2810" max="3054" width="16.5703125" style="1"/>
    <col min="3055" max="3055" width="16.5703125" style="1" customWidth="1"/>
    <col min="3056" max="3059" width="12.7109375" style="1" customWidth="1"/>
    <col min="3060" max="3060" width="6.5703125" style="1" bestFit="1" customWidth="1"/>
    <col min="3061" max="3065" width="12.7109375" style="1" customWidth="1"/>
    <col min="3066" max="3310" width="16.5703125" style="1"/>
    <col min="3311" max="3311" width="16.5703125" style="1" customWidth="1"/>
    <col min="3312" max="3315" width="12.7109375" style="1" customWidth="1"/>
    <col min="3316" max="3316" width="6.5703125" style="1" bestFit="1" customWidth="1"/>
    <col min="3317" max="3321" width="12.7109375" style="1" customWidth="1"/>
    <col min="3322" max="3566" width="16.5703125" style="1"/>
    <col min="3567" max="3567" width="16.5703125" style="1" customWidth="1"/>
    <col min="3568" max="3571" width="12.7109375" style="1" customWidth="1"/>
    <col min="3572" max="3572" width="6.5703125" style="1" bestFit="1" customWidth="1"/>
    <col min="3573" max="3577" width="12.7109375" style="1" customWidth="1"/>
    <col min="3578" max="3822" width="16.5703125" style="1"/>
    <col min="3823" max="3823" width="16.5703125" style="1" customWidth="1"/>
    <col min="3824" max="3827" width="12.7109375" style="1" customWidth="1"/>
    <col min="3828" max="3828" width="6.5703125" style="1" bestFit="1" customWidth="1"/>
    <col min="3829" max="3833" width="12.7109375" style="1" customWidth="1"/>
    <col min="3834" max="4078" width="16.5703125" style="1"/>
    <col min="4079" max="4079" width="16.5703125" style="1" customWidth="1"/>
    <col min="4080" max="4083" width="12.7109375" style="1" customWidth="1"/>
    <col min="4084" max="4084" width="6.5703125" style="1" bestFit="1" customWidth="1"/>
    <col min="4085" max="4089" width="12.7109375" style="1" customWidth="1"/>
    <col min="4090" max="4334" width="16.5703125" style="1"/>
    <col min="4335" max="4335" width="16.5703125" style="1" customWidth="1"/>
    <col min="4336" max="4339" width="12.7109375" style="1" customWidth="1"/>
    <col min="4340" max="4340" width="6.5703125" style="1" bestFit="1" customWidth="1"/>
    <col min="4341" max="4345" width="12.7109375" style="1" customWidth="1"/>
    <col min="4346" max="4590" width="16.5703125" style="1"/>
    <col min="4591" max="4591" width="16.5703125" style="1" customWidth="1"/>
    <col min="4592" max="4595" width="12.7109375" style="1" customWidth="1"/>
    <col min="4596" max="4596" width="6.5703125" style="1" bestFit="1" customWidth="1"/>
    <col min="4597" max="4601" width="12.7109375" style="1" customWidth="1"/>
    <col min="4602" max="4846" width="16.5703125" style="1"/>
    <col min="4847" max="4847" width="16.5703125" style="1" customWidth="1"/>
    <col min="4848" max="4851" width="12.7109375" style="1" customWidth="1"/>
    <col min="4852" max="4852" width="6.5703125" style="1" bestFit="1" customWidth="1"/>
    <col min="4853" max="4857" width="12.7109375" style="1" customWidth="1"/>
    <col min="4858" max="5102" width="16.5703125" style="1"/>
    <col min="5103" max="5103" width="16.5703125" style="1" customWidth="1"/>
    <col min="5104" max="5107" width="12.7109375" style="1" customWidth="1"/>
    <col min="5108" max="5108" width="6.5703125" style="1" bestFit="1" customWidth="1"/>
    <col min="5109" max="5113" width="12.7109375" style="1" customWidth="1"/>
    <col min="5114" max="5358" width="16.5703125" style="1"/>
    <col min="5359" max="5359" width="16.5703125" style="1" customWidth="1"/>
    <col min="5360" max="5363" width="12.7109375" style="1" customWidth="1"/>
    <col min="5364" max="5364" width="6.5703125" style="1" bestFit="1" customWidth="1"/>
    <col min="5365" max="5369" width="12.7109375" style="1" customWidth="1"/>
    <col min="5370" max="5614" width="16.5703125" style="1"/>
    <col min="5615" max="5615" width="16.5703125" style="1" customWidth="1"/>
    <col min="5616" max="5619" width="12.7109375" style="1" customWidth="1"/>
    <col min="5620" max="5620" width="6.5703125" style="1" bestFit="1" customWidth="1"/>
    <col min="5621" max="5625" width="12.7109375" style="1" customWidth="1"/>
    <col min="5626" max="5870" width="16.5703125" style="1"/>
    <col min="5871" max="5871" width="16.5703125" style="1" customWidth="1"/>
    <col min="5872" max="5875" width="12.7109375" style="1" customWidth="1"/>
    <col min="5876" max="5876" width="6.5703125" style="1" bestFit="1" customWidth="1"/>
    <col min="5877" max="5881" width="12.7109375" style="1" customWidth="1"/>
    <col min="5882" max="6126" width="16.5703125" style="1"/>
    <col min="6127" max="6127" width="16.5703125" style="1" customWidth="1"/>
    <col min="6128" max="6131" width="12.7109375" style="1" customWidth="1"/>
    <col min="6132" max="6132" width="6.5703125" style="1" bestFit="1" customWidth="1"/>
    <col min="6133" max="6137" width="12.7109375" style="1" customWidth="1"/>
    <col min="6138" max="6382" width="16.5703125" style="1"/>
    <col min="6383" max="6383" width="16.5703125" style="1" customWidth="1"/>
    <col min="6384" max="6387" width="12.7109375" style="1" customWidth="1"/>
    <col min="6388" max="6388" width="6.5703125" style="1" bestFit="1" customWidth="1"/>
    <col min="6389" max="6393" width="12.7109375" style="1" customWidth="1"/>
    <col min="6394" max="6638" width="16.5703125" style="1"/>
    <col min="6639" max="6639" width="16.5703125" style="1" customWidth="1"/>
    <col min="6640" max="6643" width="12.7109375" style="1" customWidth="1"/>
    <col min="6644" max="6644" width="6.5703125" style="1" bestFit="1" customWidth="1"/>
    <col min="6645" max="6649" width="12.7109375" style="1" customWidth="1"/>
    <col min="6650" max="6894" width="16.5703125" style="1"/>
    <col min="6895" max="6895" width="16.5703125" style="1" customWidth="1"/>
    <col min="6896" max="6899" width="12.7109375" style="1" customWidth="1"/>
    <col min="6900" max="6900" width="6.5703125" style="1" bestFit="1" customWidth="1"/>
    <col min="6901" max="6905" width="12.7109375" style="1" customWidth="1"/>
    <col min="6906" max="7150" width="16.5703125" style="1"/>
    <col min="7151" max="7151" width="16.5703125" style="1" customWidth="1"/>
    <col min="7152" max="7155" width="12.7109375" style="1" customWidth="1"/>
    <col min="7156" max="7156" width="6.5703125" style="1" bestFit="1" customWidth="1"/>
    <col min="7157" max="7161" width="12.7109375" style="1" customWidth="1"/>
    <col min="7162" max="7406" width="16.5703125" style="1"/>
    <col min="7407" max="7407" width="16.5703125" style="1" customWidth="1"/>
    <col min="7408" max="7411" width="12.7109375" style="1" customWidth="1"/>
    <col min="7412" max="7412" width="6.5703125" style="1" bestFit="1" customWidth="1"/>
    <col min="7413" max="7417" width="12.7109375" style="1" customWidth="1"/>
    <col min="7418" max="7662" width="16.5703125" style="1"/>
    <col min="7663" max="7663" width="16.5703125" style="1" customWidth="1"/>
    <col min="7664" max="7667" width="12.7109375" style="1" customWidth="1"/>
    <col min="7668" max="7668" width="6.5703125" style="1" bestFit="1" customWidth="1"/>
    <col min="7669" max="7673" width="12.7109375" style="1" customWidth="1"/>
    <col min="7674" max="7918" width="16.5703125" style="1"/>
    <col min="7919" max="7919" width="16.5703125" style="1" customWidth="1"/>
    <col min="7920" max="7923" width="12.7109375" style="1" customWidth="1"/>
    <col min="7924" max="7924" width="6.5703125" style="1" bestFit="1" customWidth="1"/>
    <col min="7925" max="7929" width="12.7109375" style="1" customWidth="1"/>
    <col min="7930" max="8174" width="16.5703125" style="1"/>
    <col min="8175" max="8175" width="16.5703125" style="1" customWidth="1"/>
    <col min="8176" max="8179" width="12.7109375" style="1" customWidth="1"/>
    <col min="8180" max="8180" width="6.5703125" style="1" bestFit="1" customWidth="1"/>
    <col min="8181" max="8185" width="12.7109375" style="1" customWidth="1"/>
    <col min="8186" max="8430" width="16.5703125" style="1"/>
    <col min="8431" max="8431" width="16.5703125" style="1" customWidth="1"/>
    <col min="8432" max="8435" width="12.7109375" style="1" customWidth="1"/>
    <col min="8436" max="8436" width="6.5703125" style="1" bestFit="1" customWidth="1"/>
    <col min="8437" max="8441" width="12.7109375" style="1" customWidth="1"/>
    <col min="8442" max="8686" width="16.5703125" style="1"/>
    <col min="8687" max="8687" width="16.5703125" style="1" customWidth="1"/>
    <col min="8688" max="8691" width="12.7109375" style="1" customWidth="1"/>
    <col min="8692" max="8692" width="6.5703125" style="1" bestFit="1" customWidth="1"/>
    <col min="8693" max="8697" width="12.7109375" style="1" customWidth="1"/>
    <col min="8698" max="8942" width="16.5703125" style="1"/>
    <col min="8943" max="8943" width="16.5703125" style="1" customWidth="1"/>
    <col min="8944" max="8947" width="12.7109375" style="1" customWidth="1"/>
    <col min="8948" max="8948" width="6.5703125" style="1" bestFit="1" customWidth="1"/>
    <col min="8949" max="8953" width="12.7109375" style="1" customWidth="1"/>
    <col min="8954" max="9198" width="16.5703125" style="1"/>
    <col min="9199" max="9199" width="16.5703125" style="1" customWidth="1"/>
    <col min="9200" max="9203" width="12.7109375" style="1" customWidth="1"/>
    <col min="9204" max="9204" width="6.5703125" style="1" bestFit="1" customWidth="1"/>
    <col min="9205" max="9209" width="12.7109375" style="1" customWidth="1"/>
    <col min="9210" max="9454" width="16.5703125" style="1"/>
    <col min="9455" max="9455" width="16.5703125" style="1" customWidth="1"/>
    <col min="9456" max="9459" width="12.7109375" style="1" customWidth="1"/>
    <col min="9460" max="9460" width="6.5703125" style="1" bestFit="1" customWidth="1"/>
    <col min="9461" max="9465" width="12.7109375" style="1" customWidth="1"/>
    <col min="9466" max="9710" width="16.5703125" style="1"/>
    <col min="9711" max="9711" width="16.5703125" style="1" customWidth="1"/>
    <col min="9712" max="9715" width="12.7109375" style="1" customWidth="1"/>
    <col min="9716" max="9716" width="6.5703125" style="1" bestFit="1" customWidth="1"/>
    <col min="9717" max="9721" width="12.7109375" style="1" customWidth="1"/>
    <col min="9722" max="9966" width="16.5703125" style="1"/>
    <col min="9967" max="9967" width="16.5703125" style="1" customWidth="1"/>
    <col min="9968" max="9971" width="12.7109375" style="1" customWidth="1"/>
    <col min="9972" max="9972" width="6.5703125" style="1" bestFit="1" customWidth="1"/>
    <col min="9973" max="9977" width="12.7109375" style="1" customWidth="1"/>
    <col min="9978" max="10222" width="16.5703125" style="1"/>
    <col min="10223" max="10223" width="16.5703125" style="1" customWidth="1"/>
    <col min="10224" max="10227" width="12.7109375" style="1" customWidth="1"/>
    <col min="10228" max="10228" width="6.5703125" style="1" bestFit="1" customWidth="1"/>
    <col min="10229" max="10233" width="12.7109375" style="1" customWidth="1"/>
    <col min="10234" max="10478" width="16.5703125" style="1"/>
    <col min="10479" max="10479" width="16.5703125" style="1" customWidth="1"/>
    <col min="10480" max="10483" width="12.7109375" style="1" customWidth="1"/>
    <col min="10484" max="10484" width="6.5703125" style="1" bestFit="1" customWidth="1"/>
    <col min="10485" max="10489" width="12.7109375" style="1" customWidth="1"/>
    <col min="10490" max="10734" width="16.5703125" style="1"/>
    <col min="10735" max="10735" width="16.5703125" style="1" customWidth="1"/>
    <col min="10736" max="10739" width="12.7109375" style="1" customWidth="1"/>
    <col min="10740" max="10740" width="6.5703125" style="1" bestFit="1" customWidth="1"/>
    <col min="10741" max="10745" width="12.7109375" style="1" customWidth="1"/>
    <col min="10746" max="10990" width="16.5703125" style="1"/>
    <col min="10991" max="10991" width="16.5703125" style="1" customWidth="1"/>
    <col min="10992" max="10995" width="12.7109375" style="1" customWidth="1"/>
    <col min="10996" max="10996" width="6.5703125" style="1" bestFit="1" customWidth="1"/>
    <col min="10997" max="11001" width="12.7109375" style="1" customWidth="1"/>
    <col min="11002" max="11246" width="16.5703125" style="1"/>
    <col min="11247" max="11247" width="16.5703125" style="1" customWidth="1"/>
    <col min="11248" max="11251" width="12.7109375" style="1" customWidth="1"/>
    <col min="11252" max="11252" width="6.5703125" style="1" bestFit="1" customWidth="1"/>
    <col min="11253" max="11257" width="12.7109375" style="1" customWidth="1"/>
    <col min="11258" max="11502" width="16.5703125" style="1"/>
    <col min="11503" max="11503" width="16.5703125" style="1" customWidth="1"/>
    <col min="11504" max="11507" width="12.7109375" style="1" customWidth="1"/>
    <col min="11508" max="11508" width="6.5703125" style="1" bestFit="1" customWidth="1"/>
    <col min="11509" max="11513" width="12.7109375" style="1" customWidth="1"/>
    <col min="11514" max="11758" width="16.5703125" style="1"/>
    <col min="11759" max="11759" width="16.5703125" style="1" customWidth="1"/>
    <col min="11760" max="11763" width="12.7109375" style="1" customWidth="1"/>
    <col min="11764" max="11764" width="6.5703125" style="1" bestFit="1" customWidth="1"/>
    <col min="11765" max="11769" width="12.7109375" style="1" customWidth="1"/>
    <col min="11770" max="12014" width="16.5703125" style="1"/>
    <col min="12015" max="12015" width="16.5703125" style="1" customWidth="1"/>
    <col min="12016" max="12019" width="12.7109375" style="1" customWidth="1"/>
    <col min="12020" max="12020" width="6.5703125" style="1" bestFit="1" customWidth="1"/>
    <col min="12021" max="12025" width="12.7109375" style="1" customWidth="1"/>
    <col min="12026" max="12270" width="16.5703125" style="1"/>
    <col min="12271" max="12271" width="16.5703125" style="1" customWidth="1"/>
    <col min="12272" max="12275" width="12.7109375" style="1" customWidth="1"/>
    <col min="12276" max="12276" width="6.5703125" style="1" bestFit="1" customWidth="1"/>
    <col min="12277" max="12281" width="12.7109375" style="1" customWidth="1"/>
    <col min="12282" max="12526" width="16.5703125" style="1"/>
    <col min="12527" max="12527" width="16.5703125" style="1" customWidth="1"/>
    <col min="12528" max="12531" width="12.7109375" style="1" customWidth="1"/>
    <col min="12532" max="12532" width="6.5703125" style="1" bestFit="1" customWidth="1"/>
    <col min="12533" max="12537" width="12.7109375" style="1" customWidth="1"/>
    <col min="12538" max="12782" width="16.5703125" style="1"/>
    <col min="12783" max="12783" width="16.5703125" style="1" customWidth="1"/>
    <col min="12784" max="12787" width="12.7109375" style="1" customWidth="1"/>
    <col min="12788" max="12788" width="6.5703125" style="1" bestFit="1" customWidth="1"/>
    <col min="12789" max="12793" width="12.7109375" style="1" customWidth="1"/>
    <col min="12794" max="13038" width="16.5703125" style="1"/>
    <col min="13039" max="13039" width="16.5703125" style="1" customWidth="1"/>
    <col min="13040" max="13043" width="12.7109375" style="1" customWidth="1"/>
    <col min="13044" max="13044" width="6.5703125" style="1" bestFit="1" customWidth="1"/>
    <col min="13045" max="13049" width="12.7109375" style="1" customWidth="1"/>
    <col min="13050" max="13294" width="16.5703125" style="1"/>
    <col min="13295" max="13295" width="16.5703125" style="1" customWidth="1"/>
    <col min="13296" max="13299" width="12.7109375" style="1" customWidth="1"/>
    <col min="13300" max="13300" width="6.5703125" style="1" bestFit="1" customWidth="1"/>
    <col min="13301" max="13305" width="12.7109375" style="1" customWidth="1"/>
    <col min="13306" max="13550" width="16.5703125" style="1"/>
    <col min="13551" max="13551" width="16.5703125" style="1" customWidth="1"/>
    <col min="13552" max="13555" width="12.7109375" style="1" customWidth="1"/>
    <col min="13556" max="13556" width="6.5703125" style="1" bestFit="1" customWidth="1"/>
    <col min="13557" max="13561" width="12.7109375" style="1" customWidth="1"/>
    <col min="13562" max="13806" width="16.5703125" style="1"/>
    <col min="13807" max="13807" width="16.5703125" style="1" customWidth="1"/>
    <col min="13808" max="13811" width="12.7109375" style="1" customWidth="1"/>
    <col min="13812" max="13812" width="6.5703125" style="1" bestFit="1" customWidth="1"/>
    <col min="13813" max="13817" width="12.7109375" style="1" customWidth="1"/>
    <col min="13818" max="14062" width="16.5703125" style="1"/>
    <col min="14063" max="14063" width="16.5703125" style="1" customWidth="1"/>
    <col min="14064" max="14067" width="12.7109375" style="1" customWidth="1"/>
    <col min="14068" max="14068" width="6.5703125" style="1" bestFit="1" customWidth="1"/>
    <col min="14069" max="14073" width="12.7109375" style="1" customWidth="1"/>
    <col min="14074" max="14318" width="16.5703125" style="1"/>
    <col min="14319" max="14319" width="16.5703125" style="1" customWidth="1"/>
    <col min="14320" max="14323" width="12.7109375" style="1" customWidth="1"/>
    <col min="14324" max="14324" width="6.5703125" style="1" bestFit="1" customWidth="1"/>
    <col min="14325" max="14329" width="12.7109375" style="1" customWidth="1"/>
    <col min="14330" max="14574" width="16.5703125" style="1"/>
    <col min="14575" max="14575" width="16.5703125" style="1" customWidth="1"/>
    <col min="14576" max="14579" width="12.7109375" style="1" customWidth="1"/>
    <col min="14580" max="14580" width="6.5703125" style="1" bestFit="1" customWidth="1"/>
    <col min="14581" max="14585" width="12.7109375" style="1" customWidth="1"/>
    <col min="14586" max="14830" width="16.5703125" style="1"/>
    <col min="14831" max="14831" width="16.5703125" style="1" customWidth="1"/>
    <col min="14832" max="14835" width="12.7109375" style="1" customWidth="1"/>
    <col min="14836" max="14836" width="6.5703125" style="1" bestFit="1" customWidth="1"/>
    <col min="14837" max="14841" width="12.7109375" style="1" customWidth="1"/>
    <col min="14842" max="15086" width="16.5703125" style="1"/>
    <col min="15087" max="15087" width="16.5703125" style="1" customWidth="1"/>
    <col min="15088" max="15091" width="12.7109375" style="1" customWidth="1"/>
    <col min="15092" max="15092" width="6.5703125" style="1" bestFit="1" customWidth="1"/>
    <col min="15093" max="15097" width="12.7109375" style="1" customWidth="1"/>
    <col min="15098" max="15342" width="16.5703125" style="1"/>
    <col min="15343" max="15343" width="16.5703125" style="1" customWidth="1"/>
    <col min="15344" max="15347" width="12.7109375" style="1" customWidth="1"/>
    <col min="15348" max="15348" width="6.5703125" style="1" bestFit="1" customWidth="1"/>
    <col min="15349" max="15353" width="12.7109375" style="1" customWidth="1"/>
    <col min="15354" max="15598" width="16.5703125" style="1"/>
    <col min="15599" max="15599" width="16.5703125" style="1" customWidth="1"/>
    <col min="15600" max="15603" width="12.7109375" style="1" customWidth="1"/>
    <col min="15604" max="15604" width="6.5703125" style="1" bestFit="1" customWidth="1"/>
    <col min="15605" max="15609" width="12.7109375" style="1" customWidth="1"/>
    <col min="15610" max="15854" width="16.5703125" style="1"/>
    <col min="15855" max="15855" width="16.5703125" style="1" customWidth="1"/>
    <col min="15856" max="15859" width="12.7109375" style="1" customWidth="1"/>
    <col min="15860" max="15860" width="6.5703125" style="1" bestFit="1" customWidth="1"/>
    <col min="15861" max="15865" width="12.7109375" style="1" customWidth="1"/>
    <col min="15866" max="16110" width="16.5703125" style="1"/>
    <col min="16111" max="16111" width="16.5703125" style="1" customWidth="1"/>
    <col min="16112" max="16115" width="12.7109375" style="1" customWidth="1"/>
    <col min="16116" max="16116" width="6.5703125" style="1" bestFit="1" customWidth="1"/>
    <col min="16117" max="16121" width="12.7109375" style="1" customWidth="1"/>
    <col min="16122" max="16384" width="16.5703125" style="1"/>
  </cols>
  <sheetData>
    <row r="1" spans="1:12" ht="15.75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ht="15.75" x14ac:dyDescent="0.25">
      <c r="A2" s="138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5.75" x14ac:dyDescent="0.25">
      <c r="A3" s="334" t="s">
        <v>131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2" ht="15.75" x14ac:dyDescent="0.25">
      <c r="A4" s="334" t="s">
        <v>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</row>
    <row r="5" spans="1:12" ht="15.75" x14ac:dyDescent="0.25">
      <c r="A5" s="3"/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2" ht="15.75" x14ac:dyDescent="0.25">
      <c r="A6" s="3" t="s">
        <v>55</v>
      </c>
      <c r="B6" s="5"/>
      <c r="C6" s="5"/>
      <c r="D6" s="5"/>
      <c r="E6" s="6"/>
      <c r="F6" s="6"/>
      <c r="G6" s="6"/>
      <c r="H6" s="195"/>
      <c r="I6" s="6"/>
    </row>
    <row r="7" spans="1:12" ht="15.75" x14ac:dyDescent="0.25">
      <c r="A7" s="334" t="s">
        <v>54</v>
      </c>
      <c r="B7" s="334"/>
      <c r="C7" s="334"/>
      <c r="D7" s="334"/>
      <c r="E7" s="334"/>
      <c r="F7" s="334"/>
      <c r="G7" s="334"/>
      <c r="H7" s="334"/>
      <c r="I7" s="334"/>
      <c r="J7" s="334"/>
    </row>
    <row r="8" spans="1:12" ht="15.75" x14ac:dyDescent="0.25">
      <c r="A8" s="334" t="s">
        <v>138</v>
      </c>
      <c r="B8" s="334"/>
      <c r="C8" s="334"/>
      <c r="D8" s="334"/>
      <c r="E8" s="334"/>
      <c r="F8" s="334"/>
      <c r="G8" s="334"/>
      <c r="H8" s="334"/>
      <c r="I8" s="334"/>
      <c r="J8" s="334"/>
    </row>
    <row r="9" spans="1:12" ht="13.5" x14ac:dyDescent="0.25">
      <c r="C9" s="335" t="s">
        <v>3</v>
      </c>
      <c r="D9" s="335"/>
      <c r="E9" s="336"/>
      <c r="F9" s="336"/>
      <c r="G9" s="336"/>
      <c r="H9" s="335" t="s">
        <v>4</v>
      </c>
      <c r="I9" s="335"/>
      <c r="J9" s="335"/>
    </row>
    <row r="10" spans="1:12" s="17" customFormat="1" ht="13.5" x14ac:dyDescent="0.25">
      <c r="A10" s="337" t="s">
        <v>5</v>
      </c>
      <c r="B10" s="340" t="s">
        <v>6</v>
      </c>
      <c r="C10" s="340" t="s">
        <v>7</v>
      </c>
      <c r="D10" s="340" t="s">
        <v>8</v>
      </c>
      <c r="E10" s="340" t="s">
        <v>9</v>
      </c>
      <c r="F10" s="340" t="s">
        <v>10</v>
      </c>
      <c r="G10" s="337" t="s">
        <v>11</v>
      </c>
      <c r="H10" s="340" t="s">
        <v>12</v>
      </c>
      <c r="I10" s="340" t="s">
        <v>13</v>
      </c>
      <c r="J10" s="340" t="s">
        <v>14</v>
      </c>
      <c r="K10" s="30"/>
    </row>
    <row r="11" spans="1:12" ht="13.5" x14ac:dyDescent="0.2">
      <c r="A11" s="338"/>
      <c r="B11" s="340"/>
      <c r="C11" s="340"/>
      <c r="D11" s="340"/>
      <c r="E11" s="340"/>
      <c r="F11" s="340"/>
      <c r="G11" s="338"/>
      <c r="H11" s="340"/>
      <c r="I11" s="340"/>
      <c r="J11" s="340"/>
      <c r="K11" s="30"/>
    </row>
    <row r="12" spans="1:12" s="17" customFormat="1" ht="27" x14ac:dyDescent="0.25">
      <c r="A12" s="139" t="s">
        <v>18</v>
      </c>
      <c r="B12" s="10"/>
      <c r="C12" s="247" t="s">
        <v>143</v>
      </c>
      <c r="D12" s="11"/>
      <c r="E12" s="10"/>
      <c r="F12" s="12"/>
      <c r="G12" s="10"/>
      <c r="H12" s="196" t="s">
        <v>98</v>
      </c>
      <c r="I12" s="197" t="s">
        <v>109</v>
      </c>
      <c r="J12" s="197" t="s">
        <v>123</v>
      </c>
      <c r="K12" s="163"/>
    </row>
    <row r="13" spans="1:12" ht="40.5" x14ac:dyDescent="0.2">
      <c r="A13" s="139" t="s">
        <v>20</v>
      </c>
      <c r="B13" s="10"/>
      <c r="C13" s="10"/>
      <c r="D13" s="11"/>
      <c r="E13" s="10"/>
      <c r="F13" s="12"/>
      <c r="G13" s="10"/>
      <c r="H13" s="198" t="s">
        <v>111</v>
      </c>
      <c r="I13" s="197" t="s">
        <v>110</v>
      </c>
      <c r="J13" s="197" t="s">
        <v>122</v>
      </c>
      <c r="K13" s="163"/>
    </row>
    <row r="14" spans="1:12" ht="27" x14ac:dyDescent="0.2">
      <c r="A14" s="139" t="s">
        <v>21</v>
      </c>
      <c r="B14" s="10"/>
      <c r="C14" s="10"/>
      <c r="D14" s="11"/>
      <c r="E14" s="11"/>
      <c r="F14" s="12"/>
      <c r="G14" s="10"/>
      <c r="H14" s="198" t="s">
        <v>99</v>
      </c>
      <c r="I14" s="14"/>
      <c r="J14" s="197" t="s">
        <v>112</v>
      </c>
      <c r="K14" s="163"/>
    </row>
    <row r="15" spans="1:12" ht="27" x14ac:dyDescent="0.2">
      <c r="A15" s="139" t="s">
        <v>22</v>
      </c>
      <c r="B15" s="10"/>
      <c r="C15" s="10"/>
      <c r="D15" s="11"/>
      <c r="E15" s="11"/>
      <c r="F15" s="12"/>
      <c r="G15" s="10"/>
      <c r="H15" s="198" t="s">
        <v>100</v>
      </c>
      <c r="I15" s="14"/>
      <c r="J15" s="197" t="s">
        <v>113</v>
      </c>
      <c r="K15" s="163"/>
    </row>
    <row r="16" spans="1:12" ht="27" x14ac:dyDescent="0.2">
      <c r="A16" s="139" t="s">
        <v>23</v>
      </c>
      <c r="B16" s="10"/>
      <c r="C16" s="10"/>
      <c r="D16" s="11"/>
      <c r="E16" s="11"/>
      <c r="F16" s="12"/>
      <c r="G16" s="10"/>
      <c r="H16" s="198" t="s">
        <v>101</v>
      </c>
      <c r="I16" s="197"/>
      <c r="J16" s="197" t="s">
        <v>114</v>
      </c>
      <c r="K16" s="163"/>
    </row>
    <row r="17" spans="1:11" ht="40.5" x14ac:dyDescent="0.2">
      <c r="A17" s="139" t="s">
        <v>24</v>
      </c>
      <c r="B17" s="10"/>
      <c r="C17" s="10"/>
      <c r="D17" s="11"/>
      <c r="E17" s="10"/>
      <c r="F17" s="12"/>
      <c r="G17" s="10"/>
      <c r="H17" s="198" t="s">
        <v>102</v>
      </c>
      <c r="I17" s="197" t="s">
        <v>116</v>
      </c>
      <c r="J17" s="197" t="s">
        <v>117</v>
      </c>
      <c r="K17" s="163"/>
    </row>
    <row r="18" spans="1:11" ht="27" x14ac:dyDescent="0.2">
      <c r="A18" s="139" t="s">
        <v>25</v>
      </c>
      <c r="B18" s="10"/>
      <c r="C18" s="10"/>
      <c r="D18" s="11"/>
      <c r="E18" s="10"/>
      <c r="F18" s="12"/>
      <c r="G18" s="10"/>
      <c r="H18" s="198" t="s">
        <v>103</v>
      </c>
      <c r="I18" s="197" t="s">
        <v>115</v>
      </c>
      <c r="J18" s="14"/>
      <c r="K18" s="163"/>
    </row>
    <row r="19" spans="1:11" ht="27" x14ac:dyDescent="0.2">
      <c r="A19" s="139" t="s">
        <v>53</v>
      </c>
      <c r="B19" s="10"/>
      <c r="C19" s="10"/>
      <c r="D19" s="11"/>
      <c r="E19" s="11"/>
      <c r="F19" s="12"/>
      <c r="G19" s="14"/>
      <c r="H19" s="198" t="s">
        <v>104</v>
      </c>
      <c r="I19" s="14"/>
      <c r="J19" s="197" t="s">
        <v>76</v>
      </c>
      <c r="K19" s="163"/>
    </row>
    <row r="20" spans="1:11" ht="27" x14ac:dyDescent="0.2">
      <c r="A20" s="139" t="s">
        <v>27</v>
      </c>
      <c r="B20" s="10"/>
      <c r="C20" s="10"/>
      <c r="D20" s="11"/>
      <c r="E20" s="11"/>
      <c r="F20" s="12"/>
      <c r="G20" s="14"/>
      <c r="H20" s="198" t="s">
        <v>105</v>
      </c>
      <c r="I20" s="14"/>
      <c r="J20" s="14"/>
      <c r="K20" s="163"/>
    </row>
    <row r="21" spans="1:11" ht="27" x14ac:dyDescent="0.2">
      <c r="A21" s="139" t="s">
        <v>28</v>
      </c>
      <c r="B21" s="10"/>
      <c r="C21" s="10"/>
      <c r="D21" s="11"/>
      <c r="E21" s="11"/>
      <c r="F21" s="12"/>
      <c r="G21" s="14"/>
      <c r="H21" s="198" t="s">
        <v>106</v>
      </c>
      <c r="I21" s="14"/>
      <c r="J21" s="14"/>
      <c r="K21" s="163"/>
    </row>
    <row r="22" spans="1:11" ht="27" x14ac:dyDescent="0.2">
      <c r="A22" s="139" t="s">
        <v>29</v>
      </c>
      <c r="B22" s="10"/>
      <c r="C22" s="10"/>
      <c r="D22" s="11"/>
      <c r="E22" s="11"/>
      <c r="F22" s="12"/>
      <c r="G22" s="10"/>
      <c r="H22" s="198" t="s">
        <v>107</v>
      </c>
      <c r="I22" s="14"/>
      <c r="J22" s="197"/>
      <c r="K22" s="163"/>
    </row>
    <row r="23" spans="1:11" ht="27" x14ac:dyDescent="0.2">
      <c r="A23" s="139" t="s">
        <v>30</v>
      </c>
      <c r="B23" s="10"/>
      <c r="C23" s="10"/>
      <c r="D23" s="11"/>
      <c r="E23" s="10"/>
      <c r="F23" s="12"/>
      <c r="G23" s="10"/>
      <c r="H23" s="198" t="s">
        <v>108</v>
      </c>
      <c r="I23" s="197" t="s">
        <v>118</v>
      </c>
      <c r="J23" s="197" t="s">
        <v>119</v>
      </c>
      <c r="K23" s="163"/>
    </row>
    <row r="24" spans="1:11" s="5" customFormat="1" ht="13.5" x14ac:dyDescent="0.2">
      <c r="A24" s="20" t="s">
        <v>60</v>
      </c>
      <c r="B24" s="21">
        <f t="shared" ref="B24:J24" si="0">SUM(B12:B23)</f>
        <v>0</v>
      </c>
      <c r="C24" s="21">
        <f t="shared" si="0"/>
        <v>0</v>
      </c>
      <c r="D24" s="21">
        <f t="shared" si="0"/>
        <v>0</v>
      </c>
      <c r="E24" s="21">
        <f t="shared" si="0"/>
        <v>0</v>
      </c>
      <c r="F24" s="21">
        <f t="shared" si="0"/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0</v>
      </c>
      <c r="K24" s="164"/>
    </row>
    <row r="25" spans="1:11" s="17" customFormat="1" ht="54" x14ac:dyDescent="0.25">
      <c r="A25" s="139" t="s">
        <v>18</v>
      </c>
      <c r="B25" s="10"/>
      <c r="C25" s="10"/>
      <c r="D25" s="11"/>
      <c r="E25" s="10"/>
      <c r="F25" s="12"/>
      <c r="G25" s="10"/>
      <c r="H25" s="196" t="s">
        <v>62</v>
      </c>
      <c r="I25" s="197" t="s">
        <v>63</v>
      </c>
      <c r="J25" s="197" t="s">
        <v>64</v>
      </c>
      <c r="K25" s="163"/>
    </row>
    <row r="26" spans="1:11" ht="54" x14ac:dyDescent="0.2">
      <c r="A26" s="139" t="s">
        <v>20</v>
      </c>
      <c r="B26" s="10"/>
      <c r="C26" s="10"/>
      <c r="D26" s="11"/>
      <c r="E26" s="10"/>
      <c r="F26" s="12"/>
      <c r="G26" s="10"/>
      <c r="H26" s="198" t="s">
        <v>65</v>
      </c>
      <c r="I26" s="197" t="s">
        <v>66</v>
      </c>
      <c r="J26" s="197" t="s">
        <v>67</v>
      </c>
      <c r="K26" s="163"/>
    </row>
    <row r="27" spans="1:11" ht="27" x14ac:dyDescent="0.2">
      <c r="A27" s="139" t="s">
        <v>21</v>
      </c>
      <c r="B27" s="10"/>
      <c r="C27" s="10"/>
      <c r="D27" s="11"/>
      <c r="E27" s="11"/>
      <c r="F27" s="12"/>
      <c r="G27" s="10"/>
      <c r="H27" s="198" t="s">
        <v>68</v>
      </c>
      <c r="I27" s="14"/>
      <c r="J27" s="14"/>
      <c r="K27" s="163"/>
    </row>
    <row r="28" spans="1:11" ht="27" x14ac:dyDescent="0.2">
      <c r="A28" s="139" t="s">
        <v>22</v>
      </c>
      <c r="B28" s="10"/>
      <c r="C28" s="10"/>
      <c r="D28" s="11"/>
      <c r="E28" s="11"/>
      <c r="F28" s="12"/>
      <c r="G28" s="10"/>
      <c r="H28" s="198" t="s">
        <v>69</v>
      </c>
      <c r="I28" s="14"/>
      <c r="J28" s="14"/>
      <c r="K28" s="163"/>
    </row>
    <row r="29" spans="1:11" ht="27" x14ac:dyDescent="0.2">
      <c r="A29" s="139" t="s">
        <v>23</v>
      </c>
      <c r="B29" s="10"/>
      <c r="C29" s="10"/>
      <c r="D29" s="11"/>
      <c r="E29" s="11"/>
      <c r="F29" s="12"/>
      <c r="G29" s="10"/>
      <c r="H29" s="198" t="s">
        <v>70</v>
      </c>
      <c r="I29" s="14"/>
      <c r="J29" s="14"/>
      <c r="K29" s="163"/>
    </row>
    <row r="30" spans="1:11" ht="27" x14ac:dyDescent="0.2">
      <c r="A30" s="139" t="s">
        <v>24</v>
      </c>
      <c r="B30" s="10"/>
      <c r="C30" s="10"/>
      <c r="D30" s="11"/>
      <c r="E30" s="10"/>
      <c r="F30" s="12"/>
      <c r="G30" s="10"/>
      <c r="H30" s="198" t="s">
        <v>71</v>
      </c>
      <c r="I30" s="14" t="s">
        <v>72</v>
      </c>
      <c r="J30" s="197" t="s">
        <v>73</v>
      </c>
      <c r="K30" s="163"/>
    </row>
    <row r="31" spans="1:11" ht="27" x14ac:dyDescent="0.2">
      <c r="A31" s="139" t="s">
        <v>25</v>
      </c>
      <c r="B31" s="10"/>
      <c r="C31" s="10"/>
      <c r="D31" s="11"/>
      <c r="E31" s="10"/>
      <c r="F31" s="12"/>
      <c r="G31" s="10"/>
      <c r="H31" s="198" t="s">
        <v>74</v>
      </c>
      <c r="I31" s="14"/>
      <c r="J31" s="14"/>
      <c r="K31" s="163"/>
    </row>
    <row r="32" spans="1:11" ht="27" x14ac:dyDescent="0.2">
      <c r="A32" s="139" t="s">
        <v>53</v>
      </c>
      <c r="B32" s="10"/>
      <c r="C32" s="10"/>
      <c r="D32" s="11"/>
      <c r="E32" s="11"/>
      <c r="F32" s="12"/>
      <c r="G32" s="14"/>
      <c r="H32" s="198" t="s">
        <v>75</v>
      </c>
      <c r="I32" s="14"/>
      <c r="J32" s="197" t="s">
        <v>76</v>
      </c>
      <c r="K32" s="163"/>
    </row>
    <row r="33" spans="1:11" ht="27" x14ac:dyDescent="0.2">
      <c r="A33" s="139" t="s">
        <v>27</v>
      </c>
      <c r="B33" s="10"/>
      <c r="C33" s="10"/>
      <c r="D33" s="11"/>
      <c r="E33" s="11"/>
      <c r="F33" s="12"/>
      <c r="G33" s="14"/>
      <c r="H33" s="198" t="s">
        <v>77</v>
      </c>
      <c r="I33" s="14"/>
      <c r="J33" s="14"/>
      <c r="K33" s="163"/>
    </row>
    <row r="34" spans="1:11" ht="27" x14ac:dyDescent="0.2">
      <c r="A34" s="139" t="s">
        <v>28</v>
      </c>
      <c r="B34" s="10"/>
      <c r="C34" s="10"/>
      <c r="D34" s="11"/>
      <c r="E34" s="11"/>
      <c r="F34" s="12"/>
      <c r="G34" s="14"/>
      <c r="H34" s="198" t="s">
        <v>78</v>
      </c>
      <c r="I34" s="14"/>
      <c r="J34" s="14"/>
      <c r="K34" s="163"/>
    </row>
    <row r="35" spans="1:11" ht="40.5" x14ac:dyDescent="0.2">
      <c r="A35" s="139" t="s">
        <v>29</v>
      </c>
      <c r="B35" s="10"/>
      <c r="C35" s="10"/>
      <c r="D35" s="11"/>
      <c r="E35" s="11"/>
      <c r="F35" s="12"/>
      <c r="G35" s="10"/>
      <c r="H35" s="198" t="s">
        <v>79</v>
      </c>
      <c r="I35" s="14"/>
      <c r="J35" s="197" t="s">
        <v>80</v>
      </c>
      <c r="K35" s="163"/>
    </row>
    <row r="36" spans="1:11" ht="40.5" x14ac:dyDescent="0.2">
      <c r="A36" s="139" t="s">
        <v>30</v>
      </c>
      <c r="B36" s="10"/>
      <c r="C36" s="10"/>
      <c r="D36" s="11"/>
      <c r="E36" s="10"/>
      <c r="F36" s="12"/>
      <c r="G36" s="10"/>
      <c r="H36" s="198" t="s">
        <v>81</v>
      </c>
      <c r="I36" s="197" t="s">
        <v>82</v>
      </c>
      <c r="J36" s="197" t="s">
        <v>83</v>
      </c>
      <c r="K36" s="163"/>
    </row>
    <row r="37" spans="1:11" ht="27" x14ac:dyDescent="0.2">
      <c r="A37" s="139" t="s">
        <v>56</v>
      </c>
      <c r="B37" s="10"/>
      <c r="C37" s="10"/>
      <c r="D37" s="11"/>
      <c r="E37" s="10"/>
      <c r="F37" s="12"/>
      <c r="G37" s="10"/>
      <c r="H37" s="198" t="s">
        <v>84</v>
      </c>
      <c r="I37" s="14"/>
      <c r="J37" s="197" t="s">
        <v>85</v>
      </c>
      <c r="K37" s="163"/>
    </row>
    <row r="38" spans="1:11" ht="54" x14ac:dyDescent="0.2">
      <c r="A38" s="139" t="s">
        <v>58</v>
      </c>
      <c r="B38" s="10"/>
      <c r="C38" s="10"/>
      <c r="D38" s="11"/>
      <c r="E38" s="10"/>
      <c r="F38" s="12"/>
      <c r="G38" s="10"/>
      <c r="H38" s="198" t="s">
        <v>86</v>
      </c>
      <c r="I38" s="14"/>
      <c r="J38" s="197" t="s">
        <v>87</v>
      </c>
      <c r="K38" s="163"/>
    </row>
    <row r="39" spans="1:11" ht="54" x14ac:dyDescent="0.2">
      <c r="A39" s="139" t="s">
        <v>57</v>
      </c>
      <c r="B39" s="10"/>
      <c r="C39" s="10"/>
      <c r="D39" s="11"/>
      <c r="E39" s="10"/>
      <c r="F39" s="12"/>
      <c r="G39" s="10"/>
      <c r="H39" s="198" t="s">
        <v>88</v>
      </c>
      <c r="I39" s="14"/>
      <c r="J39" s="197" t="s">
        <v>89</v>
      </c>
      <c r="K39" s="163"/>
    </row>
    <row r="40" spans="1:11" s="5" customFormat="1" ht="13.5" x14ac:dyDescent="0.2">
      <c r="A40" s="20" t="s">
        <v>51</v>
      </c>
      <c r="B40" s="21">
        <f t="shared" ref="B40:J40" si="1">SUM(B25:B36)</f>
        <v>0</v>
      </c>
      <c r="C40" s="21">
        <f t="shared" si="1"/>
        <v>0</v>
      </c>
      <c r="D40" s="21">
        <f t="shared" si="1"/>
        <v>0</v>
      </c>
      <c r="E40" s="21">
        <f t="shared" si="1"/>
        <v>0</v>
      </c>
      <c r="F40" s="21">
        <f t="shared" si="1"/>
        <v>0</v>
      </c>
      <c r="G40" s="21">
        <f t="shared" si="1"/>
        <v>0</v>
      </c>
      <c r="H40" s="21">
        <f t="shared" si="1"/>
        <v>0</v>
      </c>
      <c r="I40" s="21">
        <f t="shared" si="1"/>
        <v>0</v>
      </c>
      <c r="J40" s="21">
        <f t="shared" si="1"/>
        <v>0</v>
      </c>
      <c r="K40" s="164"/>
    </row>
    <row r="41" spans="1:11" s="17" customFormat="1" ht="27" x14ac:dyDescent="0.25">
      <c r="A41" s="139" t="s">
        <v>18</v>
      </c>
      <c r="B41" s="10"/>
      <c r="C41" s="10"/>
      <c r="D41" s="11"/>
      <c r="E41" s="10"/>
      <c r="F41" s="12"/>
      <c r="G41" s="10"/>
      <c r="H41" s="13"/>
      <c r="I41" s="199" t="s">
        <v>90</v>
      </c>
      <c r="J41" s="197" t="s">
        <v>120</v>
      </c>
      <c r="K41" s="163"/>
    </row>
    <row r="42" spans="1:11" ht="40.5" x14ac:dyDescent="0.2">
      <c r="A42" s="139" t="s">
        <v>20</v>
      </c>
      <c r="B42" s="10"/>
      <c r="C42" s="10"/>
      <c r="D42" s="11"/>
      <c r="E42" s="10"/>
      <c r="F42" s="12"/>
      <c r="G42" s="10"/>
      <c r="H42" s="13"/>
      <c r="I42" s="199" t="s">
        <v>91</v>
      </c>
      <c r="J42" s="197" t="s">
        <v>92</v>
      </c>
      <c r="K42" s="163"/>
    </row>
    <row r="43" spans="1:11" ht="13.5" x14ac:dyDescent="0.2">
      <c r="A43" s="139" t="s">
        <v>21</v>
      </c>
      <c r="B43" s="10"/>
      <c r="C43" s="10"/>
      <c r="D43" s="11"/>
      <c r="E43" s="10"/>
      <c r="F43" s="12"/>
      <c r="G43" s="10"/>
      <c r="H43" s="13"/>
      <c r="I43" s="199"/>
      <c r="J43" s="14"/>
      <c r="K43" s="163"/>
    </row>
    <row r="44" spans="1:11" ht="13.5" x14ac:dyDescent="0.2">
      <c r="A44" s="139" t="s">
        <v>22</v>
      </c>
      <c r="B44" s="10"/>
      <c r="C44" s="10"/>
      <c r="D44" s="10"/>
      <c r="E44" s="10"/>
      <c r="F44" s="12"/>
      <c r="G44" s="10"/>
      <c r="H44" s="13"/>
      <c r="I44" s="199"/>
      <c r="J44" s="14"/>
      <c r="K44" s="163"/>
    </row>
    <row r="45" spans="1:11" ht="13.5" x14ac:dyDescent="0.2">
      <c r="A45" s="139" t="s">
        <v>23</v>
      </c>
      <c r="B45" s="10"/>
      <c r="C45" s="10"/>
      <c r="D45" s="10"/>
      <c r="E45" s="10"/>
      <c r="F45" s="12"/>
      <c r="G45" s="10"/>
      <c r="H45" s="13"/>
      <c r="I45" s="199"/>
      <c r="J45" s="14"/>
      <c r="K45" s="163"/>
    </row>
    <row r="46" spans="1:11" ht="40.5" x14ac:dyDescent="0.2">
      <c r="A46" s="139" t="s">
        <v>24</v>
      </c>
      <c r="B46" s="10"/>
      <c r="C46" s="10"/>
      <c r="D46" s="11"/>
      <c r="E46" s="10"/>
      <c r="F46" s="12"/>
      <c r="G46" s="10"/>
      <c r="H46" s="13"/>
      <c r="I46" s="199" t="s">
        <v>93</v>
      </c>
      <c r="J46" s="197" t="s">
        <v>121</v>
      </c>
      <c r="K46" s="163"/>
    </row>
    <row r="47" spans="1:11" ht="13.5" x14ac:dyDescent="0.2">
      <c r="A47" s="139" t="s">
        <v>25</v>
      </c>
      <c r="B47" s="10"/>
      <c r="C47" s="10"/>
      <c r="D47" s="10"/>
      <c r="E47" s="10"/>
      <c r="F47" s="12"/>
      <c r="G47" s="10"/>
      <c r="H47" s="13"/>
      <c r="I47" s="199"/>
      <c r="J47" s="14"/>
      <c r="K47" s="163"/>
    </row>
    <row r="48" spans="1:11" ht="13.5" x14ac:dyDescent="0.2">
      <c r="A48" s="139" t="s">
        <v>27</v>
      </c>
      <c r="B48" s="10"/>
      <c r="C48" s="10"/>
      <c r="D48" s="11"/>
      <c r="E48" s="10"/>
      <c r="F48" s="12"/>
      <c r="G48" s="10"/>
      <c r="H48" s="13"/>
      <c r="I48" s="199"/>
      <c r="J48" s="14"/>
      <c r="K48" s="163"/>
    </row>
    <row r="49" spans="1:11" ht="13.5" x14ac:dyDescent="0.2">
      <c r="A49" s="139" t="s">
        <v>28</v>
      </c>
      <c r="B49" s="10"/>
      <c r="C49" s="10"/>
      <c r="D49" s="11"/>
      <c r="E49" s="10"/>
      <c r="F49" s="12"/>
      <c r="G49" s="10"/>
      <c r="H49" s="13"/>
      <c r="I49" s="199"/>
      <c r="J49" s="14"/>
      <c r="K49" s="163"/>
    </row>
    <row r="50" spans="1:11" ht="54" x14ac:dyDescent="0.2">
      <c r="A50" s="139" t="s">
        <v>29</v>
      </c>
      <c r="B50" s="10"/>
      <c r="C50" s="10"/>
      <c r="D50" s="45"/>
      <c r="E50" s="10"/>
      <c r="F50" s="12"/>
      <c r="G50" s="10"/>
      <c r="H50" s="13"/>
      <c r="I50" s="200" t="s">
        <v>94</v>
      </c>
      <c r="J50" s="197" t="s">
        <v>95</v>
      </c>
      <c r="K50" s="163"/>
    </row>
    <row r="51" spans="1:11" ht="27" x14ac:dyDescent="0.2">
      <c r="A51" s="139" t="s">
        <v>30</v>
      </c>
      <c r="B51" s="10"/>
      <c r="C51" s="10"/>
      <c r="D51" s="10"/>
      <c r="E51" s="10"/>
      <c r="F51" s="12"/>
      <c r="G51" s="10"/>
      <c r="H51" s="13"/>
      <c r="I51" s="200" t="s">
        <v>96</v>
      </c>
      <c r="J51" s="197" t="s">
        <v>97</v>
      </c>
      <c r="K51" s="163"/>
    </row>
    <row r="52" spans="1:11" s="5" customFormat="1" ht="13.5" x14ac:dyDescent="0.2">
      <c r="A52" s="20" t="s">
        <v>33</v>
      </c>
      <c r="B52" s="21">
        <f>SUM(B41:B51)</f>
        <v>0</v>
      </c>
      <c r="C52" s="21">
        <f>SUM(C41:C51)</f>
        <v>0</v>
      </c>
      <c r="D52" s="21">
        <f>SUM(D41:D51)</f>
        <v>0</v>
      </c>
      <c r="E52" s="21">
        <f>SUM(E41:E51)</f>
        <v>0</v>
      </c>
      <c r="F52" s="22" t="e">
        <f>+E52/C52</f>
        <v>#DIV/0!</v>
      </c>
      <c r="G52" s="21">
        <f>SUM(G41:G51)</f>
        <v>0</v>
      </c>
      <c r="H52" s="21">
        <f>SUM(H41:H51)</f>
        <v>0</v>
      </c>
      <c r="I52" s="21">
        <f>SUM(I41:I51)</f>
        <v>0</v>
      </c>
      <c r="J52" s="21">
        <f>SUM(J41:J51)</f>
        <v>0</v>
      </c>
      <c r="K52" s="164"/>
    </row>
    <row r="53" spans="1:11" ht="13.5" x14ac:dyDescent="0.25">
      <c r="A53" s="28"/>
      <c r="B53" s="29"/>
      <c r="C53" s="29"/>
      <c r="D53" s="29"/>
      <c r="E53" s="28"/>
      <c r="F53" s="28"/>
      <c r="G53" s="28"/>
      <c r="H53" s="28"/>
      <c r="I53" s="28"/>
      <c r="J53" s="28"/>
      <c r="K53" s="30"/>
    </row>
    <row r="54" spans="1:11" x14ac:dyDescent="0.2">
      <c r="A54" s="140"/>
      <c r="B54" s="19"/>
      <c r="C54" s="333" t="s">
        <v>45</v>
      </c>
      <c r="D54" s="333"/>
      <c r="E54" s="333"/>
      <c r="F54" s="333"/>
      <c r="G54" s="333"/>
      <c r="H54" s="333"/>
      <c r="I54" s="333"/>
      <c r="J54" s="19"/>
      <c r="K54" s="19"/>
    </row>
    <row r="55" spans="1:11" x14ac:dyDescent="0.2">
      <c r="A55" s="140"/>
      <c r="B55" s="19"/>
      <c r="C55" s="193"/>
      <c r="D55" s="193"/>
      <c r="E55" s="193"/>
      <c r="F55" s="193"/>
      <c r="G55" s="193"/>
      <c r="H55" s="193"/>
      <c r="I55" s="193"/>
      <c r="J55" s="19"/>
      <c r="K55" s="19"/>
    </row>
    <row r="56" spans="1:11" ht="13.5" x14ac:dyDescent="0.25">
      <c r="A56" s="140"/>
      <c r="B56" s="325" t="s">
        <v>46</v>
      </c>
      <c r="C56" s="325"/>
      <c r="D56" s="326" t="s">
        <v>47</v>
      </c>
      <c r="E56" s="327"/>
      <c r="F56" s="328"/>
      <c r="G56" s="320" t="s">
        <v>48</v>
      </c>
      <c r="H56" s="320"/>
      <c r="I56" s="191" t="s">
        <v>10</v>
      </c>
      <c r="J56" s="19"/>
      <c r="K56" s="19"/>
    </row>
    <row r="57" spans="1:11" ht="13.5" x14ac:dyDescent="0.25">
      <c r="A57" s="140"/>
      <c r="B57" s="329" t="s">
        <v>49</v>
      </c>
      <c r="C57" s="329"/>
      <c r="D57" s="330"/>
      <c r="E57" s="331"/>
      <c r="F57" s="332"/>
      <c r="G57" s="330">
        <f>+D57</f>
        <v>0</v>
      </c>
      <c r="H57" s="332"/>
      <c r="I57" s="33"/>
      <c r="J57" s="19"/>
      <c r="K57" s="19"/>
    </row>
    <row r="58" spans="1:11" ht="13.5" x14ac:dyDescent="0.25">
      <c r="A58" s="140"/>
      <c r="B58" s="320"/>
      <c r="C58" s="320"/>
      <c r="D58" s="321"/>
      <c r="E58" s="322"/>
      <c r="F58" s="323"/>
      <c r="G58" s="324"/>
      <c r="H58" s="324"/>
      <c r="I58" s="192"/>
      <c r="J58" s="19"/>
      <c r="K58" s="19"/>
    </row>
    <row r="59" spans="1:11" ht="13.5" x14ac:dyDescent="0.25">
      <c r="A59" s="140"/>
      <c r="B59" s="320"/>
      <c r="C59" s="320"/>
      <c r="D59" s="321"/>
      <c r="E59" s="322"/>
      <c r="F59" s="323"/>
      <c r="G59" s="324"/>
      <c r="H59" s="324"/>
      <c r="I59" s="192"/>
      <c r="J59" s="19"/>
      <c r="K59" s="19"/>
    </row>
    <row r="60" spans="1:11" ht="13.5" x14ac:dyDescent="0.25">
      <c r="A60" s="140"/>
      <c r="B60" s="320"/>
      <c r="C60" s="320"/>
      <c r="D60" s="321"/>
      <c r="E60" s="322"/>
      <c r="F60" s="323"/>
      <c r="G60" s="324"/>
      <c r="H60" s="324"/>
      <c r="I60" s="192"/>
      <c r="J60" s="19"/>
      <c r="K60" s="19"/>
    </row>
    <row r="61" spans="1:11" ht="13.5" x14ac:dyDescent="0.25">
      <c r="A61" s="35" t="s">
        <v>50</v>
      </c>
      <c r="B61" s="36"/>
      <c r="C61" s="36"/>
      <c r="D61" s="36"/>
      <c r="E61" s="36"/>
      <c r="F61" s="36"/>
      <c r="G61" s="37"/>
      <c r="H61" s="37"/>
      <c r="I61" s="38"/>
      <c r="J61" s="19"/>
      <c r="K61" s="19"/>
    </row>
  </sheetData>
  <mergeCells count="33">
    <mergeCell ref="A3:L3"/>
    <mergeCell ref="G56:H56"/>
    <mergeCell ref="A1:L1"/>
    <mergeCell ref="A10:A11"/>
    <mergeCell ref="B10:B11"/>
    <mergeCell ref="C10:C11"/>
    <mergeCell ref="D10:D11"/>
    <mergeCell ref="E10:E11"/>
    <mergeCell ref="I10:I11"/>
    <mergeCell ref="J10:J11"/>
    <mergeCell ref="F10:F11"/>
    <mergeCell ref="G10:G11"/>
    <mergeCell ref="H10:H11"/>
    <mergeCell ref="A7:J7"/>
    <mergeCell ref="B60:C60"/>
    <mergeCell ref="D60:F60"/>
    <mergeCell ref="G60:H60"/>
    <mergeCell ref="B58:C58"/>
    <mergeCell ref="D58:F58"/>
    <mergeCell ref="G58:H58"/>
    <mergeCell ref="B59:C59"/>
    <mergeCell ref="D59:F59"/>
    <mergeCell ref="G59:H59"/>
    <mergeCell ref="G57:H57"/>
    <mergeCell ref="A8:J8"/>
    <mergeCell ref="D56:F56"/>
    <mergeCell ref="H9:J9"/>
    <mergeCell ref="A4:L4"/>
    <mergeCell ref="C54:I54"/>
    <mergeCell ref="B57:C57"/>
    <mergeCell ref="D57:F57"/>
    <mergeCell ref="C9:G9"/>
    <mergeCell ref="B56:C56"/>
  </mergeCells>
  <printOptions horizontalCentered="1" verticalCentered="1"/>
  <pageMargins left="0.70866141732283472" right="0.70866141732283472" top="0.35433070866141736" bottom="0.55118110236220474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opLeftCell="A7" zoomScale="130" zoomScaleNormal="130" workbookViewId="0">
      <selection activeCell="F21" sqref="F21"/>
    </sheetView>
  </sheetViews>
  <sheetFormatPr baseColWidth="10" defaultColWidth="16.5703125" defaultRowHeight="12.75" x14ac:dyDescent="0.2"/>
  <cols>
    <col min="1" max="1" width="16.5703125" style="1" customWidth="1"/>
    <col min="2" max="5" width="12.7109375" style="1" customWidth="1"/>
    <col min="6" max="6" width="6.5703125" style="1" bestFit="1" customWidth="1"/>
    <col min="7" max="11" width="12.7109375" style="1" customWidth="1"/>
    <col min="12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4" ht="15.75" x14ac:dyDescent="0.25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5.75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ht="15.7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ht="15.75" x14ac:dyDescent="0.25">
      <c r="A5" s="3" t="s">
        <v>2</v>
      </c>
      <c r="B5" s="5"/>
      <c r="C5" s="5"/>
      <c r="D5" s="5"/>
      <c r="E5" s="6"/>
      <c r="F5" s="6"/>
      <c r="G5" s="6"/>
    </row>
    <row r="6" spans="1:14" ht="13.5" x14ac:dyDescent="0.25">
      <c r="C6" s="335" t="s">
        <v>3</v>
      </c>
      <c r="D6" s="335"/>
      <c r="E6" s="336"/>
      <c r="F6" s="336"/>
      <c r="G6" s="336"/>
      <c r="H6" s="335" t="s">
        <v>4</v>
      </c>
      <c r="I6" s="335"/>
      <c r="J6" s="335"/>
      <c r="K6" s="335"/>
    </row>
    <row r="7" spans="1:14" ht="13.5" x14ac:dyDescent="0.25">
      <c r="A7" s="337" t="s">
        <v>5</v>
      </c>
      <c r="B7" s="339" t="s">
        <v>6</v>
      </c>
      <c r="C7" s="339" t="s">
        <v>7</v>
      </c>
      <c r="D7" s="339" t="s">
        <v>8</v>
      </c>
      <c r="E7" s="340" t="s">
        <v>9</v>
      </c>
      <c r="F7" s="340" t="s">
        <v>10</v>
      </c>
      <c r="G7" s="337" t="s">
        <v>11</v>
      </c>
      <c r="H7" s="340" t="s">
        <v>12</v>
      </c>
      <c r="I7" s="340" t="s">
        <v>13</v>
      </c>
      <c r="J7" s="340" t="s">
        <v>14</v>
      </c>
      <c r="K7" s="340" t="s">
        <v>15</v>
      </c>
      <c r="L7" s="7" t="s">
        <v>16</v>
      </c>
    </row>
    <row r="8" spans="1:14" ht="13.5" x14ac:dyDescent="0.2">
      <c r="A8" s="338"/>
      <c r="B8" s="339"/>
      <c r="C8" s="339"/>
      <c r="D8" s="339"/>
      <c r="E8" s="340"/>
      <c r="F8" s="340"/>
      <c r="G8" s="338"/>
      <c r="H8" s="340"/>
      <c r="I8" s="340"/>
      <c r="J8" s="340"/>
      <c r="K8" s="340"/>
      <c r="L8" s="8" t="s">
        <v>17</v>
      </c>
    </row>
    <row r="9" spans="1:14" s="17" customFormat="1" ht="13.5" x14ac:dyDescent="0.25">
      <c r="A9" s="9" t="s">
        <v>18</v>
      </c>
      <c r="B9" s="10">
        <v>9501779.3399999999</v>
      </c>
      <c r="C9" s="10">
        <v>9497181.3399999999</v>
      </c>
      <c r="D9" s="11">
        <v>0</v>
      </c>
      <c r="E9" s="10">
        <v>8522902.6999999993</v>
      </c>
      <c r="F9" s="12">
        <f>+E9/C9</f>
        <v>0.89741391628518696</v>
      </c>
      <c r="G9" s="10">
        <f>+C9+D9-E9</f>
        <v>974278.6400000006</v>
      </c>
      <c r="H9" s="13">
        <f>839612.01-0.47</f>
        <v>839611.54</v>
      </c>
      <c r="I9" s="14">
        <v>172259.48</v>
      </c>
      <c r="J9" s="14">
        <f>13615.48+23976.9</f>
        <v>37592.380000000005</v>
      </c>
      <c r="K9" s="14">
        <f>H9+I9-J9</f>
        <v>974278.64</v>
      </c>
      <c r="L9" s="15">
        <f>+F9</f>
        <v>0.89741391628518696</v>
      </c>
      <c r="M9" s="46">
        <f>+K9-G9</f>
        <v>0</v>
      </c>
    </row>
    <row r="10" spans="1:14" ht="13.5" x14ac:dyDescent="0.2">
      <c r="A10" s="9" t="s">
        <v>19</v>
      </c>
      <c r="B10" s="10">
        <v>73877</v>
      </c>
      <c r="C10" s="10">
        <v>73877</v>
      </c>
      <c r="D10" s="11">
        <v>0</v>
      </c>
      <c r="E10" s="10">
        <v>73877</v>
      </c>
      <c r="F10" s="12">
        <f t="shared" ref="F10:F23" si="0">+E10/C10</f>
        <v>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f t="shared" ref="L10:L26" si="1">+F10</f>
        <v>1</v>
      </c>
      <c r="M10" s="16">
        <f t="shared" ref="M10:M73" si="2">+K10-G10</f>
        <v>0</v>
      </c>
    </row>
    <row r="11" spans="1:14" ht="13.5" x14ac:dyDescent="0.2">
      <c r="A11" s="9" t="s">
        <v>20</v>
      </c>
      <c r="B11" s="10">
        <v>28461059.77</v>
      </c>
      <c r="C11" s="10">
        <f>+B11</f>
        <v>28461059.77</v>
      </c>
      <c r="D11" s="11">
        <v>0</v>
      </c>
      <c r="E11" s="10">
        <v>27479996.23</v>
      </c>
      <c r="F11" s="12">
        <f t="shared" si="0"/>
        <v>0.96552962019235455</v>
      </c>
      <c r="G11" s="10">
        <f>+C11+D11-E11</f>
        <v>981063.53999999911</v>
      </c>
      <c r="H11" s="13">
        <f>170500+1827605.1</f>
        <v>1998105.1</v>
      </c>
      <c r="I11" s="14">
        <v>0</v>
      </c>
      <c r="J11" s="14">
        <f>854134.16+162187.53+719.87</f>
        <v>1017041.56</v>
      </c>
      <c r="K11" s="14">
        <f t="shared" ref="K11:K74" si="3">H11+I11-J11</f>
        <v>981063.54</v>
      </c>
      <c r="L11" s="15">
        <f t="shared" si="1"/>
        <v>0.96552962019235455</v>
      </c>
      <c r="M11" s="46">
        <f t="shared" si="2"/>
        <v>9.3132257461547852E-10</v>
      </c>
      <c r="N11" s="18"/>
    </row>
    <row r="12" spans="1:14" ht="13.5" x14ac:dyDescent="0.2">
      <c r="A12" s="9" t="s">
        <v>21</v>
      </c>
      <c r="B12" s="10">
        <v>266576.99</v>
      </c>
      <c r="C12" s="10">
        <v>266576.99</v>
      </c>
      <c r="D12" s="11">
        <v>0</v>
      </c>
      <c r="E12" s="10">
        <v>80893</v>
      </c>
      <c r="F12" s="12">
        <f t="shared" si="0"/>
        <v>0.30345079670979858</v>
      </c>
      <c r="G12" s="10">
        <f>+C12+D12-E12</f>
        <v>185683.99</v>
      </c>
      <c r="H12" s="13">
        <v>185683.99</v>
      </c>
      <c r="I12" s="14">
        <v>0</v>
      </c>
      <c r="J12" s="14">
        <v>0</v>
      </c>
      <c r="K12" s="14">
        <f t="shared" si="3"/>
        <v>185683.99</v>
      </c>
      <c r="L12" s="15">
        <f t="shared" si="1"/>
        <v>0.30345079670979858</v>
      </c>
      <c r="M12" s="16">
        <f t="shared" si="2"/>
        <v>0</v>
      </c>
    </row>
    <row r="13" spans="1:14" ht="13.5" x14ac:dyDescent="0.2">
      <c r="A13" s="9" t="s">
        <v>22</v>
      </c>
      <c r="B13" s="10">
        <v>757786.85</v>
      </c>
      <c r="C13" s="10">
        <v>757786.85</v>
      </c>
      <c r="D13" s="10">
        <v>149.51</v>
      </c>
      <c r="E13" s="10">
        <v>201977</v>
      </c>
      <c r="F13" s="12">
        <f t="shared" si="0"/>
        <v>0.26653537205086103</v>
      </c>
      <c r="G13" s="10">
        <f t="shared" ref="G13:G21" si="4">+C13+D13-E13</f>
        <v>555959.36</v>
      </c>
      <c r="H13" s="13">
        <v>555959.36</v>
      </c>
      <c r="I13" s="14">
        <v>0</v>
      </c>
      <c r="J13" s="14">
        <v>0</v>
      </c>
      <c r="K13" s="14">
        <f t="shared" si="3"/>
        <v>555959.36</v>
      </c>
      <c r="L13" s="15">
        <f t="shared" si="1"/>
        <v>0.26653537205086103</v>
      </c>
      <c r="M13" s="16">
        <f>+K13-G13</f>
        <v>0</v>
      </c>
    </row>
    <row r="14" spans="1:14" ht="13.5" x14ac:dyDescent="0.2">
      <c r="A14" s="9" t="s">
        <v>23</v>
      </c>
      <c r="B14" s="10">
        <v>919872.2</v>
      </c>
      <c r="C14" s="10">
        <v>919872.2</v>
      </c>
      <c r="D14" s="10">
        <v>408.58</v>
      </c>
      <c r="E14" s="10">
        <v>788192.61</v>
      </c>
      <c r="F14" s="12">
        <f t="shared" si="0"/>
        <v>0.85685012548482287</v>
      </c>
      <c r="G14" s="10">
        <f t="shared" si="4"/>
        <v>132088.16999999993</v>
      </c>
      <c r="H14" s="13">
        <v>132088.17000000001</v>
      </c>
      <c r="I14" s="14">
        <v>0</v>
      </c>
      <c r="J14" s="14">
        <v>0</v>
      </c>
      <c r="K14" s="14">
        <f t="shared" si="3"/>
        <v>132088.17000000001</v>
      </c>
      <c r="L14" s="15">
        <f t="shared" si="1"/>
        <v>0.85685012548482287</v>
      </c>
      <c r="M14" s="16">
        <f t="shared" si="2"/>
        <v>0</v>
      </c>
    </row>
    <row r="15" spans="1:14" ht="13.5" x14ac:dyDescent="0.2">
      <c r="A15" s="9" t="s">
        <v>24</v>
      </c>
      <c r="B15" s="10">
        <v>13636634.35</v>
      </c>
      <c r="C15" s="10">
        <v>13636634.35</v>
      </c>
      <c r="D15" s="11">
        <v>0</v>
      </c>
      <c r="E15" s="10">
        <f>13212786.17</f>
        <v>13212786.17</v>
      </c>
      <c r="F15" s="12">
        <f t="shared" si="0"/>
        <v>0.96891841717527616</v>
      </c>
      <c r="G15" s="10">
        <f>+C15+D15-E15</f>
        <v>423848.1799999997</v>
      </c>
      <c r="H15" s="13">
        <v>720934.97</v>
      </c>
      <c r="I15" s="14">
        <v>1120</v>
      </c>
      <c r="J15" s="14">
        <f>287062+8756.79+2388</f>
        <v>298206.78999999998</v>
      </c>
      <c r="K15" s="14">
        <f t="shared" si="3"/>
        <v>423848.18</v>
      </c>
      <c r="L15" s="15">
        <f t="shared" si="1"/>
        <v>0.96891841717527616</v>
      </c>
      <c r="M15" s="16">
        <f t="shared" si="2"/>
        <v>0</v>
      </c>
    </row>
    <row r="16" spans="1:14" ht="13.5" x14ac:dyDescent="0.2">
      <c r="A16" s="9" t="s">
        <v>25</v>
      </c>
      <c r="B16" s="10">
        <v>868753.03</v>
      </c>
      <c r="C16" s="10">
        <v>868753.03</v>
      </c>
      <c r="D16" s="10">
        <v>131.31</v>
      </c>
      <c r="E16" s="10">
        <v>542712.97</v>
      </c>
      <c r="F16" s="12">
        <f t="shared" si="0"/>
        <v>0.624703398156781</v>
      </c>
      <c r="G16" s="10">
        <f t="shared" si="4"/>
        <v>326171.37000000011</v>
      </c>
      <c r="H16" s="13">
        <v>326171.37</v>
      </c>
      <c r="I16" s="14">
        <v>0</v>
      </c>
      <c r="J16" s="14">
        <v>0</v>
      </c>
      <c r="K16" s="14">
        <f>H16+I16-J16</f>
        <v>326171.37</v>
      </c>
      <c r="L16" s="15">
        <f t="shared" si="1"/>
        <v>0.624703398156781</v>
      </c>
      <c r="M16" s="16">
        <f>+K16-G16</f>
        <v>0</v>
      </c>
    </row>
    <row r="17" spans="1:15" ht="13.5" x14ac:dyDescent="0.2">
      <c r="A17" s="9" t="s">
        <v>26</v>
      </c>
      <c r="B17" s="10">
        <v>0</v>
      </c>
      <c r="C17" s="10">
        <v>0</v>
      </c>
      <c r="D17" s="11">
        <v>0</v>
      </c>
      <c r="E17" s="10">
        <v>0</v>
      </c>
      <c r="F17" s="12">
        <v>0</v>
      </c>
      <c r="G17" s="14">
        <f t="shared" si="4"/>
        <v>0</v>
      </c>
      <c r="H17" s="11">
        <v>0</v>
      </c>
      <c r="I17" s="14">
        <v>0</v>
      </c>
      <c r="J17" s="14">
        <v>0</v>
      </c>
      <c r="K17" s="14">
        <f t="shared" si="3"/>
        <v>0</v>
      </c>
      <c r="L17" s="15">
        <f t="shared" si="1"/>
        <v>0</v>
      </c>
      <c r="M17" s="16">
        <f t="shared" si="2"/>
        <v>0</v>
      </c>
    </row>
    <row r="18" spans="1:15" ht="13.5" x14ac:dyDescent="0.2">
      <c r="A18" s="9" t="s">
        <v>27</v>
      </c>
      <c r="B18" s="10">
        <v>0</v>
      </c>
      <c r="C18" s="10">
        <v>0</v>
      </c>
      <c r="D18" s="11">
        <v>0</v>
      </c>
      <c r="E18" s="10">
        <v>0</v>
      </c>
      <c r="F18" s="12">
        <v>0</v>
      </c>
      <c r="G18" s="14">
        <f t="shared" si="4"/>
        <v>0</v>
      </c>
      <c r="H18" s="11">
        <v>0</v>
      </c>
      <c r="I18" s="14">
        <v>0</v>
      </c>
      <c r="J18" s="14">
        <v>0</v>
      </c>
      <c r="K18" s="14">
        <f t="shared" si="3"/>
        <v>0</v>
      </c>
      <c r="L18" s="15">
        <f t="shared" si="1"/>
        <v>0</v>
      </c>
      <c r="M18" s="16">
        <f t="shared" si="2"/>
        <v>0</v>
      </c>
    </row>
    <row r="19" spans="1:15" ht="13.5" x14ac:dyDescent="0.2">
      <c r="A19" s="9" t="s">
        <v>27</v>
      </c>
      <c r="B19" s="10">
        <v>573447.68000000005</v>
      </c>
      <c r="C19" s="10">
        <v>573447.68999999994</v>
      </c>
      <c r="D19" s="11">
        <v>0</v>
      </c>
      <c r="E19" s="10">
        <v>569680.31999999995</v>
      </c>
      <c r="F19" s="12">
        <f t="shared" si="0"/>
        <v>0.99343031619850108</v>
      </c>
      <c r="G19" s="10">
        <f t="shared" si="4"/>
        <v>3767.3699999999953</v>
      </c>
      <c r="H19" s="13">
        <v>3767.37</v>
      </c>
      <c r="I19" s="14">
        <v>0</v>
      </c>
      <c r="J19" s="14">
        <v>0</v>
      </c>
      <c r="K19" s="14">
        <f t="shared" si="3"/>
        <v>3767.37</v>
      </c>
      <c r="L19" s="15">
        <f t="shared" si="1"/>
        <v>0.99343031619850108</v>
      </c>
      <c r="M19" s="16">
        <f t="shared" si="2"/>
        <v>4.5474735088646412E-12</v>
      </c>
    </row>
    <row r="20" spans="1:15" ht="13.5" x14ac:dyDescent="0.2">
      <c r="A20" s="9" t="s">
        <v>28</v>
      </c>
      <c r="B20" s="10">
        <v>36484.65</v>
      </c>
      <c r="C20" s="10">
        <v>36484.65</v>
      </c>
      <c r="D20" s="11">
        <v>0</v>
      </c>
      <c r="E20" s="10">
        <v>0</v>
      </c>
      <c r="F20" s="12">
        <f t="shared" si="0"/>
        <v>0</v>
      </c>
      <c r="G20" s="10">
        <f t="shared" si="4"/>
        <v>36484.65</v>
      </c>
      <c r="H20" s="13">
        <v>36484.65</v>
      </c>
      <c r="I20" s="14">
        <v>0</v>
      </c>
      <c r="J20" s="14">
        <v>0</v>
      </c>
      <c r="K20" s="14">
        <f t="shared" si="3"/>
        <v>36484.65</v>
      </c>
      <c r="L20" s="15">
        <f t="shared" si="1"/>
        <v>0</v>
      </c>
      <c r="M20" s="16">
        <f t="shared" si="2"/>
        <v>0</v>
      </c>
    </row>
    <row r="21" spans="1:15" ht="13.5" x14ac:dyDescent="0.2">
      <c r="A21" s="9" t="s">
        <v>29</v>
      </c>
      <c r="B21" s="10">
        <v>25802087</v>
      </c>
      <c r="C21" s="10">
        <v>25802087</v>
      </c>
      <c r="D21" s="45">
        <v>2061.6999999999998</v>
      </c>
      <c r="E21" s="10">
        <v>21535015.98</v>
      </c>
      <c r="F21" s="12">
        <f t="shared" si="0"/>
        <v>0.83462302797444254</v>
      </c>
      <c r="G21" s="10">
        <f t="shared" si="4"/>
        <v>4269132.7199999988</v>
      </c>
      <c r="H21" s="13">
        <f>4103015.9+280000</f>
        <v>4383015.9000000004</v>
      </c>
      <c r="I21" s="14">
        <f>152805.87-30099.8</f>
        <v>122706.06999999999</v>
      </c>
      <c r="J21" s="14">
        <f>20016.25+101234.5+88489.25+27754.43-905.18</f>
        <v>236589.25</v>
      </c>
      <c r="K21" s="14">
        <f>H21+I21-J21</f>
        <v>4269132.7200000007</v>
      </c>
      <c r="L21" s="15">
        <f t="shared" si="1"/>
        <v>0.83462302797444254</v>
      </c>
      <c r="M21" s="16">
        <f t="shared" si="2"/>
        <v>0</v>
      </c>
      <c r="N21" s="18"/>
      <c r="O21" s="18"/>
    </row>
    <row r="22" spans="1:15" ht="13.5" x14ac:dyDescent="0.2">
      <c r="A22" s="9" t="s">
        <v>30</v>
      </c>
      <c r="B22" s="10">
        <v>0</v>
      </c>
      <c r="C22" s="10">
        <v>19272341</v>
      </c>
      <c r="D22" s="10">
        <v>1040.23</v>
      </c>
      <c r="E22" s="10">
        <v>17976826.68</v>
      </c>
      <c r="F22" s="12">
        <f t="shared" si="0"/>
        <v>0.93277857007615217</v>
      </c>
      <c r="G22" s="10">
        <f>+C22+D22-E22</f>
        <v>1296554.5500000007</v>
      </c>
      <c r="H22" s="13">
        <v>1586271.03</v>
      </c>
      <c r="I22" s="14">
        <v>0</v>
      </c>
      <c r="J22" s="14">
        <f>117121+174579.48-1984</f>
        <v>289716.47999999998</v>
      </c>
      <c r="K22" s="14">
        <f>H22+I22-J22</f>
        <v>1296554.55</v>
      </c>
      <c r="L22" s="15">
        <f t="shared" si="1"/>
        <v>0.93277857007615217</v>
      </c>
      <c r="M22" s="16">
        <f>+K22-G22</f>
        <v>0</v>
      </c>
      <c r="N22" s="19"/>
      <c r="O22" s="18"/>
    </row>
    <row r="23" spans="1:15" ht="13.5" x14ac:dyDescent="0.2">
      <c r="A23" s="9" t="s">
        <v>31</v>
      </c>
      <c r="B23" s="10">
        <v>700000</v>
      </c>
      <c r="C23" s="10">
        <v>700000</v>
      </c>
      <c r="D23" s="11">
        <v>0</v>
      </c>
      <c r="E23" s="10">
        <v>700000</v>
      </c>
      <c r="F23" s="12">
        <f t="shared" si="0"/>
        <v>1</v>
      </c>
      <c r="G23" s="11">
        <v>0</v>
      </c>
      <c r="H23" s="13">
        <v>9956.9</v>
      </c>
      <c r="I23" s="14">
        <v>0</v>
      </c>
      <c r="J23" s="14">
        <f>6034.48+3017.24+905.18</f>
        <v>9956.9</v>
      </c>
      <c r="K23" s="14">
        <f t="shared" si="3"/>
        <v>0</v>
      </c>
      <c r="L23" s="15">
        <f t="shared" si="1"/>
        <v>1</v>
      </c>
      <c r="M23" s="16">
        <f t="shared" si="2"/>
        <v>0</v>
      </c>
    </row>
    <row r="24" spans="1:15" ht="13.5" x14ac:dyDescent="0.2">
      <c r="A24" s="9">
        <v>3001</v>
      </c>
      <c r="B24" s="11">
        <v>0</v>
      </c>
      <c r="C24" s="11">
        <v>0</v>
      </c>
      <c r="D24" s="11">
        <v>0</v>
      </c>
      <c r="E24" s="10">
        <v>0</v>
      </c>
      <c r="F24" s="12">
        <v>0</v>
      </c>
      <c r="G24" s="11">
        <v>0</v>
      </c>
      <c r="H24" s="11">
        <v>0</v>
      </c>
      <c r="I24" s="14">
        <v>0</v>
      </c>
      <c r="J24" s="14">
        <v>0</v>
      </c>
      <c r="K24" s="14">
        <f t="shared" si="3"/>
        <v>0</v>
      </c>
      <c r="L24" s="15">
        <f t="shared" si="1"/>
        <v>0</v>
      </c>
      <c r="M24" s="16">
        <f t="shared" si="2"/>
        <v>0</v>
      </c>
    </row>
    <row r="25" spans="1:15" ht="13.5" x14ac:dyDescent="0.2">
      <c r="A25" s="9">
        <v>3002</v>
      </c>
      <c r="B25" s="11">
        <v>0</v>
      </c>
      <c r="C25" s="11">
        <v>0</v>
      </c>
      <c r="D25" s="11">
        <v>0</v>
      </c>
      <c r="E25" s="10">
        <v>0</v>
      </c>
      <c r="F25" s="12">
        <v>0</v>
      </c>
      <c r="G25" s="11">
        <v>0</v>
      </c>
      <c r="H25" s="11">
        <v>0</v>
      </c>
      <c r="I25" s="14">
        <v>0</v>
      </c>
      <c r="J25" s="14">
        <v>0</v>
      </c>
      <c r="K25" s="14">
        <f t="shared" si="3"/>
        <v>0</v>
      </c>
      <c r="L25" s="15">
        <f t="shared" si="1"/>
        <v>0</v>
      </c>
      <c r="M25" s="16">
        <f t="shared" si="2"/>
        <v>0</v>
      </c>
    </row>
    <row r="26" spans="1:15" ht="13.5" x14ac:dyDescent="0.2">
      <c r="A26" s="9" t="s">
        <v>32</v>
      </c>
      <c r="B26" s="10">
        <v>1483500</v>
      </c>
      <c r="C26" s="10">
        <v>1483500</v>
      </c>
      <c r="D26" s="11">
        <v>0</v>
      </c>
      <c r="E26" s="10">
        <v>1483500</v>
      </c>
      <c r="F26" s="12">
        <f>+E26/C26</f>
        <v>1</v>
      </c>
      <c r="G26" s="11">
        <v>0</v>
      </c>
      <c r="H26" s="13">
        <v>21101.51</v>
      </c>
      <c r="I26" s="14">
        <v>0</v>
      </c>
      <c r="J26" s="14">
        <f>12788.79+6394.4+1918.32</f>
        <v>21101.510000000002</v>
      </c>
      <c r="K26" s="14">
        <f t="shared" si="3"/>
        <v>0</v>
      </c>
      <c r="L26" s="15">
        <f t="shared" si="1"/>
        <v>1</v>
      </c>
      <c r="M26" s="16">
        <f t="shared" si="2"/>
        <v>0</v>
      </c>
    </row>
    <row r="27" spans="1:15" s="5" customFormat="1" ht="13.5" x14ac:dyDescent="0.2">
      <c r="A27" s="20" t="s">
        <v>33</v>
      </c>
      <c r="B27" s="21">
        <f>SUM(B9:B26)</f>
        <v>83081858.860000014</v>
      </c>
      <c r="C27" s="21">
        <f t="shared" ref="C27:K27" si="5">SUM(C9:C26)</f>
        <v>102349601.87</v>
      </c>
      <c r="D27" s="21">
        <f t="shared" si="5"/>
        <v>3791.3299999999995</v>
      </c>
      <c r="E27" s="21">
        <f t="shared" si="5"/>
        <v>93168360.659999996</v>
      </c>
      <c r="F27" s="22">
        <f>+E27/C27</f>
        <v>0.91029529141049692</v>
      </c>
      <c r="G27" s="21">
        <f t="shared" si="5"/>
        <v>9185032.5399999991</v>
      </c>
      <c r="H27" s="21">
        <f t="shared" si="5"/>
        <v>10799151.860000001</v>
      </c>
      <c r="I27" s="21">
        <f t="shared" si="5"/>
        <v>296085.55</v>
      </c>
      <c r="J27" s="21">
        <f t="shared" si="5"/>
        <v>1910204.8699999999</v>
      </c>
      <c r="K27" s="21">
        <f t="shared" si="5"/>
        <v>9185032.540000001</v>
      </c>
      <c r="L27" s="23"/>
    </row>
    <row r="28" spans="1:15" ht="13.5" x14ac:dyDescent="0.2">
      <c r="A28" s="9" t="s">
        <v>18</v>
      </c>
      <c r="B28" s="10">
        <v>0</v>
      </c>
      <c r="C28" s="10">
        <v>0</v>
      </c>
      <c r="D28" s="13"/>
      <c r="E28" s="10">
        <v>0</v>
      </c>
      <c r="F28" s="12">
        <v>0</v>
      </c>
      <c r="G28" s="10">
        <v>4283.6000000000004</v>
      </c>
      <c r="H28" s="10">
        <v>32268.68</v>
      </c>
      <c r="I28" s="10">
        <v>0</v>
      </c>
      <c r="J28" s="10">
        <v>27985.08</v>
      </c>
      <c r="K28" s="10">
        <f t="shared" si="3"/>
        <v>4283.5999999999985</v>
      </c>
      <c r="L28" s="15"/>
      <c r="M28" s="16">
        <f t="shared" si="2"/>
        <v>0</v>
      </c>
    </row>
    <row r="29" spans="1:15" ht="13.5" x14ac:dyDescent="0.2">
      <c r="A29" s="9" t="s">
        <v>20</v>
      </c>
      <c r="B29" s="10">
        <v>0</v>
      </c>
      <c r="C29" s="10">
        <v>0</v>
      </c>
      <c r="D29" s="13"/>
      <c r="E29" s="10">
        <v>0</v>
      </c>
      <c r="F29" s="12">
        <v>0</v>
      </c>
      <c r="G29" s="10">
        <v>45477.47</v>
      </c>
      <c r="H29" s="10">
        <v>45477.47</v>
      </c>
      <c r="I29" s="10">
        <v>0</v>
      </c>
      <c r="J29" s="10">
        <v>0</v>
      </c>
      <c r="K29" s="10">
        <f t="shared" si="3"/>
        <v>45477.47</v>
      </c>
      <c r="L29" s="15"/>
      <c r="M29" s="16">
        <f t="shared" si="2"/>
        <v>0</v>
      </c>
    </row>
    <row r="30" spans="1:15" ht="13.5" x14ac:dyDescent="0.2">
      <c r="A30" s="9" t="s">
        <v>25</v>
      </c>
      <c r="B30" s="10">
        <v>0</v>
      </c>
      <c r="C30" s="10">
        <v>0</v>
      </c>
      <c r="D30" s="13"/>
      <c r="E30" s="10">
        <v>0</v>
      </c>
      <c r="F30" s="12">
        <v>0</v>
      </c>
      <c r="G30" s="10">
        <v>45082.35</v>
      </c>
      <c r="H30" s="10">
        <v>45082.35</v>
      </c>
      <c r="I30" s="10">
        <v>0</v>
      </c>
      <c r="J30" s="10">
        <v>0</v>
      </c>
      <c r="K30" s="10">
        <f t="shared" si="3"/>
        <v>45082.35</v>
      </c>
      <c r="L30" s="15"/>
      <c r="M30" s="16">
        <f t="shared" si="2"/>
        <v>0</v>
      </c>
    </row>
    <row r="31" spans="1:15" ht="13.5" x14ac:dyDescent="0.2">
      <c r="A31" s="9" t="s">
        <v>26</v>
      </c>
      <c r="B31" s="10">
        <v>0</v>
      </c>
      <c r="C31" s="10">
        <v>0</v>
      </c>
      <c r="D31" s="13"/>
      <c r="E31" s="10">
        <v>0</v>
      </c>
      <c r="F31" s="12">
        <v>0</v>
      </c>
      <c r="G31" s="10">
        <v>220218.16</v>
      </c>
      <c r="H31" s="10">
        <v>20218.16</v>
      </c>
      <c r="I31" s="10">
        <v>200000</v>
      </c>
      <c r="J31" s="10">
        <v>0</v>
      </c>
      <c r="K31" s="10">
        <f t="shared" si="3"/>
        <v>220218.16</v>
      </c>
      <c r="L31" s="15"/>
      <c r="M31" s="16">
        <f t="shared" si="2"/>
        <v>0</v>
      </c>
    </row>
    <row r="32" spans="1:15" ht="13.5" x14ac:dyDescent="0.2">
      <c r="A32" s="9" t="s">
        <v>29</v>
      </c>
      <c r="B32" s="10">
        <v>0</v>
      </c>
      <c r="C32" s="10">
        <v>0</v>
      </c>
      <c r="D32" s="11">
        <v>0</v>
      </c>
      <c r="E32" s="10">
        <v>0</v>
      </c>
      <c r="F32" s="12">
        <v>0</v>
      </c>
      <c r="G32" s="10">
        <v>2494385.7599999998</v>
      </c>
      <c r="H32" s="10">
        <f>66.53+2511998.64</f>
        <v>2512065.17</v>
      </c>
      <c r="I32" s="10">
        <v>0</v>
      </c>
      <c r="J32" s="10">
        <v>17679.41</v>
      </c>
      <c r="K32" s="10">
        <f t="shared" si="3"/>
        <v>2494385.7599999998</v>
      </c>
      <c r="L32" s="15"/>
      <c r="M32" s="16">
        <f t="shared" si="2"/>
        <v>0</v>
      </c>
    </row>
    <row r="33" spans="1:13" ht="27" x14ac:dyDescent="0.2">
      <c r="A33" s="9" t="s">
        <v>34</v>
      </c>
      <c r="B33" s="10">
        <v>0</v>
      </c>
      <c r="C33" s="10">
        <v>0</v>
      </c>
      <c r="D33" s="13"/>
      <c r="E33" s="10">
        <v>0</v>
      </c>
      <c r="F33" s="12">
        <v>0</v>
      </c>
      <c r="G33" s="10">
        <v>1325080.67</v>
      </c>
      <c r="H33" s="10">
        <v>237102.37</v>
      </c>
      <c r="I33" s="10">
        <v>30099.8</v>
      </c>
      <c r="J33" s="10">
        <v>118844.56</v>
      </c>
      <c r="K33" s="10">
        <f t="shared" si="3"/>
        <v>148357.60999999999</v>
      </c>
      <c r="L33" s="15"/>
      <c r="M33" s="16">
        <f t="shared" si="2"/>
        <v>-1176723.06</v>
      </c>
    </row>
    <row r="34" spans="1:13" ht="13.5" x14ac:dyDescent="0.2">
      <c r="A34" s="9"/>
      <c r="B34" s="10">
        <v>0</v>
      </c>
      <c r="C34" s="10">
        <v>0</v>
      </c>
      <c r="D34" s="10"/>
      <c r="E34" s="10">
        <v>0</v>
      </c>
      <c r="F34" s="12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3"/>
        <v>0</v>
      </c>
      <c r="L34" s="15"/>
      <c r="M34" s="16">
        <f t="shared" si="2"/>
        <v>0</v>
      </c>
    </row>
    <row r="35" spans="1:13" ht="13.5" x14ac:dyDescent="0.2">
      <c r="A35" s="24" t="s">
        <v>35</v>
      </c>
      <c r="B35" s="25">
        <v>0</v>
      </c>
      <c r="C35" s="25">
        <v>0</v>
      </c>
      <c r="D35" s="25"/>
      <c r="E35" s="25">
        <v>0</v>
      </c>
      <c r="F35" s="26">
        <v>0</v>
      </c>
      <c r="G35" s="25">
        <v>8642567.129999999</v>
      </c>
      <c r="H35" s="25">
        <v>8663489.0099999998</v>
      </c>
      <c r="I35" s="25">
        <v>934578.57000000007</v>
      </c>
      <c r="J35" s="25">
        <v>955500.45</v>
      </c>
      <c r="K35" s="25">
        <f t="shared" si="3"/>
        <v>8642567.1300000008</v>
      </c>
      <c r="L35" s="27"/>
      <c r="M35" s="16">
        <f t="shared" si="2"/>
        <v>0</v>
      </c>
    </row>
    <row r="36" spans="1:13" ht="13.5" x14ac:dyDescent="0.2">
      <c r="A36" s="9" t="s">
        <v>18</v>
      </c>
      <c r="B36" s="10">
        <v>0</v>
      </c>
      <c r="C36" s="10">
        <v>0</v>
      </c>
      <c r="D36" s="10"/>
      <c r="E36" s="10">
        <v>0</v>
      </c>
      <c r="F36" s="12">
        <v>0</v>
      </c>
      <c r="G36" s="10">
        <v>57064.89</v>
      </c>
      <c r="H36" s="10">
        <v>132233.86000000002</v>
      </c>
      <c r="I36" s="10">
        <v>185.03</v>
      </c>
      <c r="J36" s="10">
        <v>75354</v>
      </c>
      <c r="K36" s="10">
        <f t="shared" si="3"/>
        <v>57064.890000000014</v>
      </c>
      <c r="L36" s="15"/>
      <c r="M36" s="16">
        <f t="shared" si="2"/>
        <v>0</v>
      </c>
    </row>
    <row r="37" spans="1:13" ht="13.5" x14ac:dyDescent="0.2">
      <c r="A37" s="9" t="s">
        <v>36</v>
      </c>
      <c r="B37" s="10">
        <v>0</v>
      </c>
      <c r="C37" s="10">
        <v>0</v>
      </c>
      <c r="D37" s="10"/>
      <c r="E37" s="10">
        <v>0</v>
      </c>
      <c r="F37" s="12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3"/>
        <v>0</v>
      </c>
      <c r="L37" s="15"/>
      <c r="M37" s="16">
        <f t="shared" si="2"/>
        <v>0</v>
      </c>
    </row>
    <row r="38" spans="1:13" ht="13.5" x14ac:dyDescent="0.2">
      <c r="A38" s="9" t="s">
        <v>20</v>
      </c>
      <c r="B38" s="10">
        <v>0</v>
      </c>
      <c r="C38" s="10">
        <v>0</v>
      </c>
      <c r="D38" s="10"/>
      <c r="E38" s="10">
        <v>0</v>
      </c>
      <c r="F38" s="12">
        <v>0</v>
      </c>
      <c r="G38" s="10">
        <v>54914.5</v>
      </c>
      <c r="H38" s="10">
        <v>51501.9</v>
      </c>
      <c r="I38" s="10">
        <v>0</v>
      </c>
      <c r="J38" s="10">
        <v>-3412.6000000000931</v>
      </c>
      <c r="K38" s="10">
        <f t="shared" si="3"/>
        <v>54914.500000000095</v>
      </c>
      <c r="L38" s="15"/>
      <c r="M38" s="16">
        <f t="shared" si="2"/>
        <v>9.4587448984384537E-11</v>
      </c>
    </row>
    <row r="39" spans="1:13" ht="13.5" x14ac:dyDescent="0.2">
      <c r="A39" s="9" t="s">
        <v>21</v>
      </c>
      <c r="B39" s="10">
        <v>0</v>
      </c>
      <c r="C39" s="10">
        <v>0</v>
      </c>
      <c r="D39" s="10"/>
      <c r="E39" s="10">
        <v>0</v>
      </c>
      <c r="F39" s="12">
        <v>0</v>
      </c>
      <c r="G39" s="10">
        <v>5979.07</v>
      </c>
      <c r="H39" s="10">
        <v>5979.07</v>
      </c>
      <c r="I39" s="10">
        <v>0</v>
      </c>
      <c r="J39" s="10">
        <v>0</v>
      </c>
      <c r="K39" s="10">
        <f t="shared" si="3"/>
        <v>5979.07</v>
      </c>
      <c r="L39" s="15"/>
      <c r="M39" s="16">
        <f t="shared" si="2"/>
        <v>0</v>
      </c>
    </row>
    <row r="40" spans="1:13" ht="13.5" x14ac:dyDescent="0.2">
      <c r="A40" s="9" t="s">
        <v>22</v>
      </c>
      <c r="B40" s="10">
        <v>0</v>
      </c>
      <c r="C40" s="10">
        <v>0</v>
      </c>
      <c r="D40" s="10"/>
      <c r="E40" s="10">
        <v>0</v>
      </c>
      <c r="F40" s="12">
        <v>0</v>
      </c>
      <c r="G40" s="10">
        <v>60932.3</v>
      </c>
      <c r="H40" s="10">
        <v>60932.3</v>
      </c>
      <c r="I40" s="10">
        <v>0</v>
      </c>
      <c r="J40" s="10">
        <v>0</v>
      </c>
      <c r="K40" s="10">
        <f t="shared" si="3"/>
        <v>60932.3</v>
      </c>
      <c r="L40" s="15"/>
      <c r="M40" s="16">
        <f t="shared" si="2"/>
        <v>0</v>
      </c>
    </row>
    <row r="41" spans="1:13" ht="13.5" x14ac:dyDescent="0.2">
      <c r="A41" s="9" t="s">
        <v>24</v>
      </c>
      <c r="B41" s="10">
        <v>0</v>
      </c>
      <c r="C41" s="10">
        <v>0</v>
      </c>
      <c r="D41" s="10"/>
      <c r="E41" s="10">
        <v>0</v>
      </c>
      <c r="F41" s="12">
        <v>0</v>
      </c>
      <c r="G41" s="10">
        <v>17486.5</v>
      </c>
      <c r="H41" s="10">
        <v>17486.5</v>
      </c>
      <c r="I41" s="10">
        <v>0</v>
      </c>
      <c r="J41" s="10">
        <v>0</v>
      </c>
      <c r="K41" s="10">
        <f t="shared" si="3"/>
        <v>17486.5</v>
      </c>
      <c r="L41" s="15"/>
      <c r="M41" s="16">
        <f t="shared" si="2"/>
        <v>0</v>
      </c>
    </row>
    <row r="42" spans="1:13" ht="13.5" x14ac:dyDescent="0.2">
      <c r="A42" s="9" t="s">
        <v>25</v>
      </c>
      <c r="B42" s="10">
        <v>0</v>
      </c>
      <c r="C42" s="10">
        <v>0</v>
      </c>
      <c r="D42" s="10"/>
      <c r="E42" s="10">
        <v>0</v>
      </c>
      <c r="F42" s="12">
        <v>0</v>
      </c>
      <c r="G42" s="10">
        <v>11051.67</v>
      </c>
      <c r="H42" s="10">
        <v>11051.67</v>
      </c>
      <c r="I42" s="10">
        <v>0</v>
      </c>
      <c r="J42" s="10">
        <v>0</v>
      </c>
      <c r="K42" s="10">
        <f t="shared" si="3"/>
        <v>11051.67</v>
      </c>
      <c r="L42" s="15"/>
      <c r="M42" s="16">
        <f t="shared" si="2"/>
        <v>0</v>
      </c>
    </row>
    <row r="43" spans="1:13" ht="13.5" x14ac:dyDescent="0.2">
      <c r="A43" s="9" t="s">
        <v>29</v>
      </c>
      <c r="B43" s="10">
        <v>0</v>
      </c>
      <c r="C43" s="10">
        <v>0</v>
      </c>
      <c r="D43" s="10">
        <v>0</v>
      </c>
      <c r="E43" s="10">
        <v>0</v>
      </c>
      <c r="F43" s="12">
        <v>0</v>
      </c>
      <c r="G43" s="10">
        <v>579680.76</v>
      </c>
      <c r="H43" s="10">
        <v>511987.09</v>
      </c>
      <c r="I43" s="10">
        <v>98358.75</v>
      </c>
      <c r="J43" s="10">
        <v>30665.079999999998</v>
      </c>
      <c r="K43" s="10">
        <f t="shared" si="3"/>
        <v>579680.76000000013</v>
      </c>
      <c r="L43" s="15"/>
      <c r="M43" s="16">
        <f t="shared" si="2"/>
        <v>0</v>
      </c>
    </row>
    <row r="44" spans="1:13" ht="13.5" x14ac:dyDescent="0.2">
      <c r="A44" s="9" t="s">
        <v>30</v>
      </c>
      <c r="B44" s="10">
        <v>0</v>
      </c>
      <c r="C44" s="10">
        <v>0</v>
      </c>
      <c r="D44" s="10"/>
      <c r="E44" s="10">
        <v>0</v>
      </c>
      <c r="F44" s="12">
        <v>0</v>
      </c>
      <c r="G44" s="10">
        <v>6199.68</v>
      </c>
      <c r="H44" s="10">
        <v>0</v>
      </c>
      <c r="I44" s="10">
        <v>6199.68</v>
      </c>
      <c r="J44" s="10">
        <v>0</v>
      </c>
      <c r="K44" s="10">
        <f t="shared" si="3"/>
        <v>6199.68</v>
      </c>
      <c r="L44" s="15"/>
      <c r="M44" s="16">
        <f t="shared" si="2"/>
        <v>0</v>
      </c>
    </row>
    <row r="45" spans="1:13" ht="13.5" x14ac:dyDescent="0.2">
      <c r="A45" s="9">
        <v>3001</v>
      </c>
      <c r="B45" s="10">
        <v>0</v>
      </c>
      <c r="C45" s="10">
        <v>0</v>
      </c>
      <c r="D45" s="10"/>
      <c r="E45" s="10">
        <v>0</v>
      </c>
      <c r="F45" s="12">
        <v>0</v>
      </c>
      <c r="G45" s="10">
        <v>510.97</v>
      </c>
      <c r="H45" s="10">
        <v>696</v>
      </c>
      <c r="I45" s="10">
        <v>0</v>
      </c>
      <c r="J45" s="10">
        <v>185.03</v>
      </c>
      <c r="K45" s="10">
        <f t="shared" si="3"/>
        <v>510.97</v>
      </c>
      <c r="L45" s="15"/>
      <c r="M45" s="16">
        <f t="shared" si="2"/>
        <v>0</v>
      </c>
    </row>
    <row r="46" spans="1:13" ht="13.5" x14ac:dyDescent="0.2">
      <c r="A46" s="9">
        <v>3002</v>
      </c>
      <c r="B46" s="10">
        <v>0</v>
      </c>
      <c r="C46" s="10">
        <v>0</v>
      </c>
      <c r="D46" s="10"/>
      <c r="E46" s="10">
        <v>0</v>
      </c>
      <c r="F46" s="12">
        <v>0</v>
      </c>
      <c r="G46" s="10">
        <v>64791.47</v>
      </c>
      <c r="H46" s="10">
        <v>64920.78</v>
      </c>
      <c r="I46" s="10">
        <v>0</v>
      </c>
      <c r="J46" s="10">
        <v>129.31</v>
      </c>
      <c r="K46" s="10">
        <f t="shared" si="3"/>
        <v>64791.47</v>
      </c>
      <c r="L46" s="15"/>
      <c r="M46" s="16">
        <f t="shared" si="2"/>
        <v>0</v>
      </c>
    </row>
    <row r="47" spans="1:13" ht="13.5" x14ac:dyDescent="0.2">
      <c r="A47" s="9"/>
      <c r="B47" s="10">
        <v>0</v>
      </c>
      <c r="C47" s="10">
        <v>0</v>
      </c>
      <c r="D47" s="10"/>
      <c r="E47" s="10">
        <v>0</v>
      </c>
      <c r="F47" s="12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3"/>
        <v>0</v>
      </c>
      <c r="L47" s="15"/>
      <c r="M47" s="16">
        <f t="shared" si="2"/>
        <v>0</v>
      </c>
    </row>
    <row r="48" spans="1:13" ht="13.5" x14ac:dyDescent="0.2">
      <c r="A48" s="24" t="s">
        <v>37</v>
      </c>
      <c r="B48" s="25">
        <v>0</v>
      </c>
      <c r="C48" s="25">
        <v>0</v>
      </c>
      <c r="D48" s="25"/>
      <c r="E48" s="25">
        <v>0</v>
      </c>
      <c r="F48" s="26">
        <v>0</v>
      </c>
      <c r="G48" s="25">
        <v>858611.81</v>
      </c>
      <c r="H48" s="25">
        <v>1406472.59</v>
      </c>
      <c r="I48" s="25">
        <v>349383.04000000004</v>
      </c>
      <c r="J48" s="25">
        <v>897243.82</v>
      </c>
      <c r="K48" s="25">
        <f t="shared" si="3"/>
        <v>858611.81000000017</v>
      </c>
      <c r="L48" s="27"/>
      <c r="M48" s="16">
        <f t="shared" si="2"/>
        <v>0</v>
      </c>
    </row>
    <row r="49" spans="1:13" ht="13.5" x14ac:dyDescent="0.2">
      <c r="A49" s="9" t="s">
        <v>18</v>
      </c>
      <c r="B49" s="10">
        <v>0</v>
      </c>
      <c r="C49" s="10">
        <v>0</v>
      </c>
      <c r="D49" s="10"/>
      <c r="E49" s="10">
        <v>0</v>
      </c>
      <c r="F49" s="12">
        <v>0</v>
      </c>
      <c r="G49" s="10">
        <v>38436.01</v>
      </c>
      <c r="H49" s="10">
        <v>62509.189999999988</v>
      </c>
      <c r="I49" s="10">
        <v>236626.82</v>
      </c>
      <c r="J49" s="10">
        <v>260700</v>
      </c>
      <c r="K49" s="10">
        <f t="shared" si="3"/>
        <v>38436.010000000009</v>
      </c>
      <c r="L49" s="15"/>
      <c r="M49" s="16">
        <f t="shared" si="2"/>
        <v>0</v>
      </c>
    </row>
    <row r="50" spans="1:13" ht="13.5" x14ac:dyDescent="0.2">
      <c r="A50" s="9" t="s">
        <v>20</v>
      </c>
      <c r="B50" s="10">
        <v>0</v>
      </c>
      <c r="C50" s="10">
        <v>0</v>
      </c>
      <c r="D50" s="10"/>
      <c r="E50" s="10">
        <v>0</v>
      </c>
      <c r="F50" s="12">
        <v>0</v>
      </c>
      <c r="G50" s="10">
        <v>137672.87</v>
      </c>
      <c r="H50" s="10">
        <v>19069.32</v>
      </c>
      <c r="I50" s="10">
        <v>1797063.97</v>
      </c>
      <c r="J50" s="10">
        <v>1678460.42</v>
      </c>
      <c r="K50" s="10">
        <f t="shared" si="3"/>
        <v>137672.87000000011</v>
      </c>
      <c r="L50" s="15"/>
      <c r="M50" s="16">
        <f t="shared" si="2"/>
        <v>0</v>
      </c>
    </row>
    <row r="51" spans="1:13" ht="13.5" x14ac:dyDescent="0.2">
      <c r="A51" s="9" t="s">
        <v>24</v>
      </c>
      <c r="B51" s="10">
        <v>0</v>
      </c>
      <c r="C51" s="10">
        <v>0</v>
      </c>
      <c r="D51" s="10"/>
      <c r="E51" s="10">
        <v>0</v>
      </c>
      <c r="F51" s="12">
        <v>0</v>
      </c>
      <c r="G51" s="10">
        <v>1712.89</v>
      </c>
      <c r="H51" s="10">
        <v>-15687.87</v>
      </c>
      <c r="I51" s="10">
        <v>536079.56000000006</v>
      </c>
      <c r="J51" s="10">
        <v>518678.8</v>
      </c>
      <c r="K51" s="10">
        <f t="shared" si="3"/>
        <v>1712.8900000000722</v>
      </c>
      <c r="L51" s="15"/>
      <c r="M51" s="16">
        <f t="shared" si="2"/>
        <v>7.2077455115504563E-11</v>
      </c>
    </row>
    <row r="52" spans="1:13" ht="13.5" x14ac:dyDescent="0.2">
      <c r="A52" s="9" t="s">
        <v>25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18649.8</v>
      </c>
      <c r="H52" s="10">
        <v>40388.06</v>
      </c>
      <c r="I52" s="10">
        <v>100000</v>
      </c>
      <c r="J52" s="10">
        <v>121738.26</v>
      </c>
      <c r="K52" s="10">
        <f t="shared" si="3"/>
        <v>18649.800000000003</v>
      </c>
      <c r="L52" s="15"/>
      <c r="M52" s="16">
        <f t="shared" si="2"/>
        <v>0</v>
      </c>
    </row>
    <row r="53" spans="1:13" ht="13.5" x14ac:dyDescent="0.2">
      <c r="A53" s="9" t="s">
        <v>29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337850.79</v>
      </c>
      <c r="H53" s="10">
        <v>419631.03</v>
      </c>
      <c r="I53" s="10">
        <v>-7.49</v>
      </c>
      <c r="J53" s="10">
        <v>81772.75</v>
      </c>
      <c r="K53" s="10">
        <f t="shared" si="3"/>
        <v>337850.79000000004</v>
      </c>
      <c r="L53" s="15"/>
      <c r="M53" s="16">
        <f t="shared" si="2"/>
        <v>0</v>
      </c>
    </row>
    <row r="54" spans="1:13" ht="13.5" x14ac:dyDescent="0.2">
      <c r="A54" s="9" t="s">
        <v>30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0</v>
      </c>
      <c r="H54" s="10">
        <v>538779.80000000005</v>
      </c>
      <c r="I54" s="10">
        <v>0</v>
      </c>
      <c r="J54" s="10">
        <v>538779.80000000005</v>
      </c>
      <c r="K54" s="10">
        <f t="shared" si="3"/>
        <v>0</v>
      </c>
      <c r="L54" s="15"/>
      <c r="M54" s="16">
        <f t="shared" si="2"/>
        <v>0</v>
      </c>
    </row>
    <row r="55" spans="1:13" ht="13.5" x14ac:dyDescent="0.2">
      <c r="A55" s="9">
        <v>3001</v>
      </c>
      <c r="B55" s="10">
        <v>0</v>
      </c>
      <c r="C55" s="10">
        <v>0</v>
      </c>
      <c r="D55" s="10"/>
      <c r="E55" s="10">
        <v>0</v>
      </c>
      <c r="F55" s="12">
        <v>0</v>
      </c>
      <c r="G55" s="10">
        <v>314.99</v>
      </c>
      <c r="H55" s="10">
        <v>315</v>
      </c>
      <c r="I55" s="10">
        <v>0</v>
      </c>
      <c r="J55" s="10">
        <v>0.01</v>
      </c>
      <c r="K55" s="10">
        <f t="shared" si="3"/>
        <v>314.99</v>
      </c>
      <c r="L55" s="15"/>
      <c r="M55" s="16">
        <f t="shared" si="2"/>
        <v>0</v>
      </c>
    </row>
    <row r="56" spans="1:13" ht="13.5" x14ac:dyDescent="0.2">
      <c r="A56" s="9">
        <v>3002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12858.9</v>
      </c>
      <c r="H56" s="10">
        <v>12858.91</v>
      </c>
      <c r="I56" s="10">
        <v>0</v>
      </c>
      <c r="J56" s="10">
        <v>0.01</v>
      </c>
      <c r="K56" s="10">
        <f t="shared" si="3"/>
        <v>12858.9</v>
      </c>
      <c r="L56" s="15"/>
      <c r="M56" s="16">
        <f t="shared" si="2"/>
        <v>0</v>
      </c>
    </row>
    <row r="57" spans="1:13" ht="13.5" x14ac:dyDescent="0.2">
      <c r="A57" s="9"/>
      <c r="B57" s="10">
        <v>0</v>
      </c>
      <c r="C57" s="10">
        <v>0</v>
      </c>
      <c r="D57" s="10"/>
      <c r="E57" s="10">
        <v>0</v>
      </c>
      <c r="F57" s="12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3"/>
        <v>0</v>
      </c>
      <c r="L57" s="15"/>
      <c r="M57" s="16">
        <f t="shared" si="2"/>
        <v>0</v>
      </c>
    </row>
    <row r="58" spans="1:13" ht="13.5" x14ac:dyDescent="0.2">
      <c r="A58" s="24" t="s">
        <v>38</v>
      </c>
      <c r="B58" s="25">
        <v>0</v>
      </c>
      <c r="C58" s="25">
        <v>0</v>
      </c>
      <c r="D58" s="25"/>
      <c r="E58" s="25">
        <v>0</v>
      </c>
      <c r="F58" s="26">
        <v>0</v>
      </c>
      <c r="G58" s="25">
        <v>547496.25</v>
      </c>
      <c r="H58" s="25">
        <v>1077863.44</v>
      </c>
      <c r="I58" s="25">
        <v>2669762.86</v>
      </c>
      <c r="J58" s="25">
        <v>3200130.0499999989</v>
      </c>
      <c r="K58" s="25">
        <f t="shared" si="3"/>
        <v>547496.25000000093</v>
      </c>
      <c r="L58" s="27"/>
      <c r="M58" s="16">
        <f t="shared" si="2"/>
        <v>9.3132257461547852E-10</v>
      </c>
    </row>
    <row r="59" spans="1:13" ht="13.5" x14ac:dyDescent="0.2">
      <c r="A59" s="9" t="s">
        <v>18</v>
      </c>
      <c r="B59" s="10">
        <v>0</v>
      </c>
      <c r="C59" s="10">
        <v>0</v>
      </c>
      <c r="D59" s="10"/>
      <c r="E59" s="10">
        <v>0</v>
      </c>
      <c r="F59" s="12">
        <v>0</v>
      </c>
      <c r="G59" s="10">
        <v>70435.27</v>
      </c>
      <c r="H59" s="10">
        <v>27196.65</v>
      </c>
      <c r="I59" s="10">
        <v>1260055.98</v>
      </c>
      <c r="J59" s="10">
        <v>1216817.3599999999</v>
      </c>
      <c r="K59" s="10">
        <f t="shared" si="3"/>
        <v>70435.270000000019</v>
      </c>
      <c r="L59" s="15"/>
      <c r="M59" s="16">
        <f t="shared" si="2"/>
        <v>0</v>
      </c>
    </row>
    <row r="60" spans="1:13" ht="13.5" x14ac:dyDescent="0.2">
      <c r="A60" s="9" t="s">
        <v>36</v>
      </c>
      <c r="B60" s="10">
        <v>0</v>
      </c>
      <c r="C60" s="10">
        <v>0</v>
      </c>
      <c r="D60" s="10"/>
      <c r="E60" s="10">
        <v>0</v>
      </c>
      <c r="F60" s="12">
        <v>0</v>
      </c>
      <c r="G60" s="10">
        <v>-10</v>
      </c>
      <c r="H60" s="10">
        <v>-10</v>
      </c>
      <c r="I60" s="10">
        <v>0</v>
      </c>
      <c r="J60" s="10">
        <v>0</v>
      </c>
      <c r="K60" s="10">
        <f t="shared" si="3"/>
        <v>-10</v>
      </c>
      <c r="L60" s="15"/>
      <c r="M60" s="16">
        <f t="shared" si="2"/>
        <v>0</v>
      </c>
    </row>
    <row r="61" spans="1:13" ht="13.5" x14ac:dyDescent="0.2">
      <c r="A61" s="9" t="s">
        <v>20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10409.09</v>
      </c>
      <c r="H61" s="10">
        <v>8124.4500000000007</v>
      </c>
      <c r="I61" s="10">
        <v>1364164.99</v>
      </c>
      <c r="J61" s="10">
        <v>1361880.35</v>
      </c>
      <c r="K61" s="10">
        <f t="shared" si="3"/>
        <v>10409.089999999851</v>
      </c>
      <c r="L61" s="15"/>
      <c r="M61" s="16">
        <f t="shared" si="2"/>
        <v>-1.4915713109076023E-10</v>
      </c>
    </row>
    <row r="62" spans="1:13" ht="13.5" x14ac:dyDescent="0.2">
      <c r="A62" s="9" t="s">
        <v>24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1150.8900000000001</v>
      </c>
      <c r="H62" s="10">
        <v>42631.81</v>
      </c>
      <c r="I62" s="10">
        <v>412765.08</v>
      </c>
      <c r="J62" s="10">
        <v>454246</v>
      </c>
      <c r="K62" s="10">
        <f t="shared" si="3"/>
        <v>1150.890000000014</v>
      </c>
      <c r="L62" s="15"/>
      <c r="M62" s="16">
        <f t="shared" si="2"/>
        <v>1.3869794202037156E-11</v>
      </c>
    </row>
    <row r="63" spans="1:13" ht="13.5" x14ac:dyDescent="0.2">
      <c r="A63" s="9" t="s">
        <v>25</v>
      </c>
      <c r="B63" s="10">
        <v>0</v>
      </c>
      <c r="C63" s="10">
        <v>0</v>
      </c>
      <c r="D63" s="10"/>
      <c r="E63" s="10">
        <v>0</v>
      </c>
      <c r="F63" s="12">
        <v>0</v>
      </c>
      <c r="G63" s="10">
        <v>-1415.64</v>
      </c>
      <c r="H63" s="10">
        <v>719.87</v>
      </c>
      <c r="I63" s="10">
        <v>17662.490000000002</v>
      </c>
      <c r="J63" s="10">
        <v>19798</v>
      </c>
      <c r="K63" s="10">
        <f t="shared" si="3"/>
        <v>-1415.6399999999994</v>
      </c>
      <c r="L63" s="15"/>
      <c r="M63" s="16">
        <f t="shared" si="2"/>
        <v>0</v>
      </c>
    </row>
    <row r="64" spans="1:13" ht="13.5" x14ac:dyDescent="0.2">
      <c r="A64" s="9" t="s">
        <v>27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267528.84000000003</v>
      </c>
      <c r="H64" s="10">
        <v>0</v>
      </c>
      <c r="I64" s="10">
        <v>267528.84000000003</v>
      </c>
      <c r="J64" s="10">
        <v>0</v>
      </c>
      <c r="K64" s="10">
        <f t="shared" si="3"/>
        <v>267528.84000000003</v>
      </c>
      <c r="L64" s="15"/>
      <c r="M64" s="16">
        <f t="shared" si="2"/>
        <v>0</v>
      </c>
    </row>
    <row r="65" spans="1:13" ht="13.5" x14ac:dyDescent="0.2">
      <c r="A65" s="9" t="s">
        <v>29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238880.59</v>
      </c>
      <c r="H65" s="10">
        <v>286118.3</v>
      </c>
      <c r="I65" s="10">
        <v>98358.74</v>
      </c>
      <c r="J65" s="10">
        <v>145596.44999999998</v>
      </c>
      <c r="K65" s="10">
        <f t="shared" si="3"/>
        <v>238880.59</v>
      </c>
      <c r="L65" s="15"/>
      <c r="M65" s="16">
        <f t="shared" si="2"/>
        <v>0</v>
      </c>
    </row>
    <row r="66" spans="1:13" ht="13.5" x14ac:dyDescent="0.2">
      <c r="A66" s="9" t="s">
        <v>30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3"/>
        <v>0</v>
      </c>
      <c r="L66" s="15"/>
      <c r="M66" s="16">
        <f t="shared" si="2"/>
        <v>0</v>
      </c>
    </row>
    <row r="67" spans="1:13" ht="13.5" x14ac:dyDescent="0.2">
      <c r="A67" s="9"/>
      <c r="B67" s="10">
        <v>0</v>
      </c>
      <c r="C67" s="10">
        <v>0</v>
      </c>
      <c r="D67" s="10"/>
      <c r="E67" s="10">
        <v>0</v>
      </c>
      <c r="F67" s="12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3"/>
        <v>0</v>
      </c>
      <c r="L67" s="15"/>
      <c r="M67" s="16">
        <f t="shared" si="2"/>
        <v>0</v>
      </c>
    </row>
    <row r="68" spans="1:13" ht="13.5" x14ac:dyDescent="0.2">
      <c r="A68" s="24" t="s">
        <v>39</v>
      </c>
      <c r="B68" s="25">
        <v>0</v>
      </c>
      <c r="C68" s="25">
        <v>0</v>
      </c>
      <c r="D68" s="25"/>
      <c r="E68" s="25">
        <v>0</v>
      </c>
      <c r="F68" s="26">
        <v>0</v>
      </c>
      <c r="G68" s="25">
        <v>586979.04</v>
      </c>
      <c r="H68" s="25">
        <v>364781.07999999996</v>
      </c>
      <c r="I68" s="25">
        <v>3420536.12</v>
      </c>
      <c r="J68" s="25">
        <v>3198338.16</v>
      </c>
      <c r="K68" s="25">
        <f t="shared" si="3"/>
        <v>586979.04</v>
      </c>
      <c r="L68" s="27"/>
      <c r="M68" s="16">
        <f t="shared" si="2"/>
        <v>0</v>
      </c>
    </row>
    <row r="69" spans="1:13" ht="13.5" x14ac:dyDescent="0.2">
      <c r="A69" s="9" t="s">
        <v>18</v>
      </c>
      <c r="B69" s="10">
        <v>0</v>
      </c>
      <c r="C69" s="10">
        <v>0</v>
      </c>
      <c r="D69" s="10"/>
      <c r="E69" s="10">
        <v>0</v>
      </c>
      <c r="F69" s="12">
        <v>0</v>
      </c>
      <c r="G69" s="10">
        <v>1852.17</v>
      </c>
      <c r="H69" s="10">
        <v>21852.97</v>
      </c>
      <c r="I69" s="10">
        <v>0</v>
      </c>
      <c r="J69" s="10">
        <v>20000.8</v>
      </c>
      <c r="K69" s="10">
        <f t="shared" si="3"/>
        <v>1852.1700000000019</v>
      </c>
      <c r="L69" s="15"/>
      <c r="M69" s="16">
        <f t="shared" si="2"/>
        <v>1.8189894035458565E-12</v>
      </c>
    </row>
    <row r="70" spans="1:13" ht="13.5" x14ac:dyDescent="0.2">
      <c r="A70" s="9" t="s">
        <v>24</v>
      </c>
      <c r="B70" s="10">
        <v>0</v>
      </c>
      <c r="C70" s="10">
        <v>0</v>
      </c>
      <c r="D70" s="10"/>
      <c r="E70" s="10">
        <v>0</v>
      </c>
      <c r="F70" s="12">
        <v>0</v>
      </c>
      <c r="G70" s="10">
        <v>43212.38</v>
      </c>
      <c r="H70" s="10">
        <v>43212.38</v>
      </c>
      <c r="I70" s="10">
        <v>0</v>
      </c>
      <c r="J70" s="10">
        <v>0</v>
      </c>
      <c r="K70" s="10">
        <f t="shared" si="3"/>
        <v>43212.38</v>
      </c>
      <c r="L70" s="15"/>
      <c r="M70" s="16">
        <f t="shared" si="2"/>
        <v>0</v>
      </c>
    </row>
    <row r="71" spans="1:13" ht="13.5" x14ac:dyDescent="0.2">
      <c r="A71" s="9" t="s">
        <v>25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1625.34</v>
      </c>
      <c r="H71" s="10">
        <v>8443.23</v>
      </c>
      <c r="I71" s="10">
        <v>10845.58</v>
      </c>
      <c r="J71" s="10">
        <v>17663.47</v>
      </c>
      <c r="K71" s="10">
        <f t="shared" si="3"/>
        <v>1625.3399999999965</v>
      </c>
      <c r="L71" s="15"/>
      <c r="M71" s="16">
        <f t="shared" si="2"/>
        <v>-3.4106051316484809E-12</v>
      </c>
    </row>
    <row r="72" spans="1:13" ht="13.5" x14ac:dyDescent="0.2">
      <c r="A72" s="9" t="s">
        <v>26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20682.669999999998</v>
      </c>
      <c r="H72" s="10">
        <v>0</v>
      </c>
      <c r="I72" s="10">
        <v>20682.669999999998</v>
      </c>
      <c r="J72" s="10">
        <v>0</v>
      </c>
      <c r="K72" s="10">
        <f t="shared" si="3"/>
        <v>20682.669999999998</v>
      </c>
      <c r="L72" s="15"/>
      <c r="M72" s="16">
        <f t="shared" si="2"/>
        <v>0</v>
      </c>
    </row>
    <row r="73" spans="1:13" ht="13.5" x14ac:dyDescent="0.2">
      <c r="A73" s="9" t="s">
        <v>29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74081.95</v>
      </c>
      <c r="H73" s="10">
        <v>79147.360000000001</v>
      </c>
      <c r="I73" s="10">
        <v>0</v>
      </c>
      <c r="J73" s="10">
        <v>5065.41</v>
      </c>
      <c r="K73" s="10">
        <f t="shared" si="3"/>
        <v>74081.95</v>
      </c>
      <c r="L73" s="15"/>
      <c r="M73" s="16">
        <f t="shared" si="2"/>
        <v>0</v>
      </c>
    </row>
    <row r="74" spans="1:13" ht="13.5" x14ac:dyDescent="0.2">
      <c r="A74" s="9" t="s">
        <v>30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3"/>
        <v>0</v>
      </c>
      <c r="L74" s="15"/>
      <c r="M74" s="16">
        <f t="shared" ref="M74:M87" si="6">+K74-G74</f>
        <v>0</v>
      </c>
    </row>
    <row r="75" spans="1:13" ht="13.5" x14ac:dyDescent="0.2">
      <c r="A75" s="9"/>
      <c r="B75" s="10">
        <v>0</v>
      </c>
      <c r="C75" s="10">
        <v>0</v>
      </c>
      <c r="D75" s="10"/>
      <c r="E75" s="10">
        <v>0</v>
      </c>
      <c r="F75" s="12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ref="K75:K83" si="7">H75+I75-J75</f>
        <v>0</v>
      </c>
      <c r="L75" s="15"/>
      <c r="M75" s="16">
        <f t="shared" si="6"/>
        <v>0</v>
      </c>
    </row>
    <row r="76" spans="1:13" ht="13.5" x14ac:dyDescent="0.2">
      <c r="A76" s="24" t="s">
        <v>40</v>
      </c>
      <c r="B76" s="25">
        <v>0</v>
      </c>
      <c r="C76" s="25">
        <v>0</v>
      </c>
      <c r="D76" s="25"/>
      <c r="E76" s="25">
        <v>0</v>
      </c>
      <c r="F76" s="26">
        <v>0</v>
      </c>
      <c r="G76" s="25">
        <v>191849.58000000002</v>
      </c>
      <c r="H76" s="25">
        <v>206107.62</v>
      </c>
      <c r="I76" s="25">
        <v>31528.25</v>
      </c>
      <c r="J76" s="25">
        <v>45786.290000000008</v>
      </c>
      <c r="K76" s="25">
        <f t="shared" si="7"/>
        <v>191849.58</v>
      </c>
      <c r="L76" s="27"/>
      <c r="M76" s="16">
        <f t="shared" si="6"/>
        <v>0</v>
      </c>
    </row>
    <row r="77" spans="1:13" ht="13.5" x14ac:dyDescent="0.2">
      <c r="A77" s="9" t="s">
        <v>36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12193</v>
      </c>
      <c r="H77" s="10">
        <v>13553.029999999999</v>
      </c>
      <c r="I77" s="10">
        <v>0</v>
      </c>
      <c r="J77" s="10">
        <v>1360.03</v>
      </c>
      <c r="K77" s="10">
        <f t="shared" si="7"/>
        <v>12192.999999999998</v>
      </c>
      <c r="L77" s="15"/>
      <c r="M77" s="16">
        <f t="shared" si="6"/>
        <v>0</v>
      </c>
    </row>
    <row r="78" spans="1:13" ht="13.5" x14ac:dyDescent="0.2">
      <c r="A78" s="9" t="s">
        <v>29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7163.64</v>
      </c>
      <c r="H78" s="10">
        <v>6216.71</v>
      </c>
      <c r="I78" s="10">
        <v>4500</v>
      </c>
      <c r="J78" s="10">
        <v>3553.0699999999997</v>
      </c>
      <c r="K78" s="10">
        <f t="shared" si="7"/>
        <v>7163.6399999999994</v>
      </c>
      <c r="L78" s="15"/>
      <c r="M78" s="16">
        <f t="shared" si="6"/>
        <v>0</v>
      </c>
    </row>
    <row r="79" spans="1:13" ht="13.5" x14ac:dyDescent="0.2">
      <c r="A79" s="9"/>
      <c r="B79" s="10">
        <v>0</v>
      </c>
      <c r="C79" s="10">
        <v>0</v>
      </c>
      <c r="D79" s="10"/>
      <c r="E79" s="10">
        <v>0</v>
      </c>
      <c r="F79" s="12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7"/>
        <v>0</v>
      </c>
      <c r="L79" s="15"/>
      <c r="M79" s="16">
        <f t="shared" si="6"/>
        <v>0</v>
      </c>
    </row>
    <row r="80" spans="1:13" ht="13.5" x14ac:dyDescent="0.2">
      <c r="A80" s="24" t="s">
        <v>41</v>
      </c>
      <c r="B80" s="25">
        <v>0</v>
      </c>
      <c r="C80" s="25">
        <v>0</v>
      </c>
      <c r="D80" s="25"/>
      <c r="E80" s="25">
        <v>0</v>
      </c>
      <c r="F80" s="26">
        <v>0</v>
      </c>
      <c r="G80" s="25">
        <v>19356.64</v>
      </c>
      <c r="H80" s="25">
        <v>19769.739999999998</v>
      </c>
      <c r="I80" s="25">
        <v>4500</v>
      </c>
      <c r="J80" s="25">
        <v>4913.0999999999995</v>
      </c>
      <c r="K80" s="25">
        <f t="shared" si="7"/>
        <v>19356.64</v>
      </c>
      <c r="L80" s="27"/>
      <c r="M80" s="16">
        <f t="shared" si="6"/>
        <v>0</v>
      </c>
    </row>
    <row r="81" spans="1:13" ht="13.5" x14ac:dyDescent="0.2">
      <c r="A81" s="9" t="s">
        <v>36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4081.54</v>
      </c>
      <c r="H81" s="10">
        <v>4081.54</v>
      </c>
      <c r="I81" s="10">
        <v>0</v>
      </c>
      <c r="J81" s="10">
        <v>0</v>
      </c>
      <c r="K81" s="10">
        <f t="shared" si="7"/>
        <v>4081.54</v>
      </c>
      <c r="L81" s="15"/>
      <c r="M81" s="16">
        <f t="shared" si="6"/>
        <v>0</v>
      </c>
    </row>
    <row r="82" spans="1:13" ht="13.5" x14ac:dyDescent="0.2">
      <c r="A82" s="9" t="s">
        <v>29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28063.68</v>
      </c>
      <c r="H82" s="10">
        <v>2763.68</v>
      </c>
      <c r="I82" s="10">
        <v>25300</v>
      </c>
      <c r="J82" s="10">
        <v>0</v>
      </c>
      <c r="K82" s="10">
        <f t="shared" si="7"/>
        <v>28063.68</v>
      </c>
      <c r="L82" s="15"/>
      <c r="M82" s="16">
        <f t="shared" si="6"/>
        <v>0</v>
      </c>
    </row>
    <row r="83" spans="1:13" ht="13.5" x14ac:dyDescent="0.2">
      <c r="A83" s="9"/>
      <c r="B83" s="10">
        <v>0</v>
      </c>
      <c r="C83" s="10">
        <v>0</v>
      </c>
      <c r="D83" s="10"/>
      <c r="E83" s="10">
        <v>0</v>
      </c>
      <c r="F83" s="12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7"/>
        <v>0</v>
      </c>
      <c r="L83" s="15"/>
      <c r="M83" s="16">
        <f t="shared" si="6"/>
        <v>0</v>
      </c>
    </row>
    <row r="84" spans="1:13" ht="13.5" x14ac:dyDescent="0.2">
      <c r="A84" s="24" t="s">
        <v>42</v>
      </c>
      <c r="B84" s="25">
        <v>0</v>
      </c>
      <c r="C84" s="25">
        <v>0</v>
      </c>
      <c r="D84" s="25"/>
      <c r="E84" s="25">
        <v>0</v>
      </c>
      <c r="F84" s="26">
        <v>0</v>
      </c>
      <c r="G84" s="25">
        <v>32145.22</v>
      </c>
      <c r="H84" s="25">
        <v>6845.2199999999993</v>
      </c>
      <c r="I84" s="25">
        <v>25300</v>
      </c>
      <c r="J84" s="25">
        <v>0</v>
      </c>
      <c r="K84" s="25">
        <f>H84+I84-J84</f>
        <v>32145.22</v>
      </c>
      <c r="L84" s="27"/>
      <c r="M84" s="16">
        <f t="shared" si="6"/>
        <v>0</v>
      </c>
    </row>
    <row r="85" spans="1:13" ht="13.5" x14ac:dyDescent="0.2">
      <c r="A85" s="9"/>
      <c r="B85" s="10">
        <v>0</v>
      </c>
      <c r="C85" s="10">
        <v>0</v>
      </c>
      <c r="D85" s="10"/>
      <c r="E85" s="10">
        <v>0</v>
      </c>
      <c r="F85" s="12">
        <v>0</v>
      </c>
      <c r="G85" s="10">
        <v>0</v>
      </c>
      <c r="H85" s="10">
        <v>0</v>
      </c>
      <c r="I85" s="10">
        <v>0</v>
      </c>
      <c r="J85" s="10">
        <v>0</v>
      </c>
      <c r="K85" s="10">
        <f>H85+I85-J85</f>
        <v>0</v>
      </c>
      <c r="L85" s="15"/>
      <c r="M85" s="16">
        <f t="shared" si="6"/>
        <v>0</v>
      </c>
    </row>
    <row r="86" spans="1:13" ht="27" x14ac:dyDescent="0.2">
      <c r="A86" s="24" t="s">
        <v>43</v>
      </c>
      <c r="B86" s="25">
        <v>0</v>
      </c>
      <c r="C86" s="25">
        <v>0</v>
      </c>
      <c r="D86" s="25"/>
      <c r="E86" s="25">
        <v>0</v>
      </c>
      <c r="F86" s="26">
        <v>0</v>
      </c>
      <c r="G86" s="25">
        <v>10879005.670000002</v>
      </c>
      <c r="H86" s="25">
        <v>11745328.699999999</v>
      </c>
      <c r="I86" s="25">
        <v>7435588.8399999999</v>
      </c>
      <c r="J86" s="25">
        <v>8301911.8699999982</v>
      </c>
      <c r="K86" s="25">
        <f>H86+I86-J86</f>
        <v>10879005.670000002</v>
      </c>
      <c r="L86" s="27"/>
      <c r="M86" s="16">
        <f t="shared" si="6"/>
        <v>0</v>
      </c>
    </row>
    <row r="87" spans="1:13" ht="13.5" x14ac:dyDescent="0.2">
      <c r="A87" s="9"/>
      <c r="B87" s="10">
        <v>0</v>
      </c>
      <c r="C87" s="10">
        <v>0</v>
      </c>
      <c r="D87" s="10"/>
      <c r="E87" s="10">
        <v>0</v>
      </c>
      <c r="F87" s="12">
        <v>0</v>
      </c>
      <c r="G87" s="10">
        <v>0</v>
      </c>
      <c r="H87" s="10">
        <v>0</v>
      </c>
      <c r="I87" s="10">
        <v>0</v>
      </c>
      <c r="J87" s="10">
        <v>0</v>
      </c>
      <c r="K87" s="10">
        <f>H87+I87-J87</f>
        <v>0</v>
      </c>
      <c r="L87" s="15"/>
      <c r="M87" s="16">
        <f t="shared" si="6"/>
        <v>0</v>
      </c>
    </row>
    <row r="88" spans="1:13" ht="13.5" x14ac:dyDescent="0.2">
      <c r="A88" s="24" t="s">
        <v>44</v>
      </c>
      <c r="B88" s="25">
        <v>89826931.689999998</v>
      </c>
      <c r="C88" s="25">
        <v>50641455.75</v>
      </c>
      <c r="D88" s="25"/>
      <c r="E88" s="25">
        <v>29577422.260000005</v>
      </c>
      <c r="F88" s="26">
        <v>0</v>
      </c>
      <c r="G88" s="25">
        <v>31943039.16</v>
      </c>
      <c r="H88" s="25">
        <f>+H27+H35+H48+H58+H68+H76+H80+H84+H86</f>
        <v>34289809.259999998</v>
      </c>
      <c r="I88" s="25">
        <v>8148728.5599999996</v>
      </c>
      <c r="J88" s="25">
        <v>9054983.8299999982</v>
      </c>
      <c r="K88" s="25">
        <f>H88+I88-J88</f>
        <v>33383553.990000002</v>
      </c>
      <c r="L88" s="27"/>
    </row>
    <row r="89" spans="1:13" ht="13.5" x14ac:dyDescent="0.25">
      <c r="A89" s="28"/>
      <c r="B89" s="29"/>
      <c r="C89" s="29"/>
      <c r="D89" s="29"/>
      <c r="E89" s="28"/>
      <c r="F89" s="28"/>
      <c r="G89" s="28"/>
      <c r="H89" s="28"/>
      <c r="I89" s="28"/>
      <c r="J89" s="28"/>
      <c r="K89" s="28"/>
      <c r="L89" s="30"/>
    </row>
    <row r="90" spans="1:13" x14ac:dyDescent="0.2">
      <c r="A90" s="19"/>
      <c r="B90" s="19"/>
      <c r="C90" s="333" t="s">
        <v>45</v>
      </c>
      <c r="D90" s="333"/>
      <c r="E90" s="333"/>
      <c r="F90" s="333"/>
      <c r="G90" s="333"/>
      <c r="H90" s="333"/>
      <c r="I90" s="333"/>
      <c r="J90" s="19"/>
      <c r="K90" s="19"/>
      <c r="L90" s="19"/>
    </row>
    <row r="91" spans="1:13" x14ac:dyDescent="0.2">
      <c r="A91" s="19"/>
      <c r="B91" s="19"/>
      <c r="C91" s="31"/>
      <c r="D91" s="31"/>
      <c r="E91" s="31"/>
      <c r="F91" s="31"/>
      <c r="G91" s="31"/>
      <c r="H91" s="31"/>
      <c r="I91" s="31"/>
      <c r="J91" s="19"/>
      <c r="K91" s="19"/>
      <c r="L91" s="19"/>
    </row>
    <row r="92" spans="1:13" ht="13.5" x14ac:dyDescent="0.25">
      <c r="A92" s="19"/>
      <c r="B92" s="325" t="s">
        <v>46</v>
      </c>
      <c r="C92" s="325"/>
      <c r="D92" s="326" t="s">
        <v>47</v>
      </c>
      <c r="E92" s="327"/>
      <c r="F92" s="328"/>
      <c r="G92" s="320" t="s">
        <v>48</v>
      </c>
      <c r="H92" s="320"/>
      <c r="I92" s="32" t="s">
        <v>10</v>
      </c>
      <c r="J92" s="19"/>
      <c r="K92" s="19"/>
      <c r="L92" s="19"/>
    </row>
    <row r="93" spans="1:13" ht="13.5" x14ac:dyDescent="0.25">
      <c r="A93" s="19"/>
      <c r="B93" s="329" t="s">
        <v>49</v>
      </c>
      <c r="C93" s="329"/>
      <c r="D93" s="330">
        <v>8135543</v>
      </c>
      <c r="E93" s="331"/>
      <c r="F93" s="332">
        <v>0</v>
      </c>
      <c r="G93" s="330">
        <v>7893704.2000000002</v>
      </c>
      <c r="H93" s="332"/>
      <c r="I93" s="33">
        <f>G93/D93</f>
        <v>0.97027379733596153</v>
      </c>
      <c r="J93" s="19"/>
      <c r="K93" s="19"/>
      <c r="L93" s="19"/>
    </row>
    <row r="94" spans="1:13" ht="13.5" x14ac:dyDescent="0.25">
      <c r="A94" s="19"/>
      <c r="B94" s="320"/>
      <c r="C94" s="320"/>
      <c r="D94" s="321"/>
      <c r="E94" s="322"/>
      <c r="F94" s="323"/>
      <c r="G94" s="324"/>
      <c r="H94" s="324"/>
      <c r="I94" s="34"/>
      <c r="J94" s="19"/>
      <c r="K94" s="19"/>
      <c r="L94" s="19"/>
    </row>
    <row r="95" spans="1:13" ht="13.5" x14ac:dyDescent="0.25">
      <c r="A95" s="19"/>
      <c r="B95" s="320"/>
      <c r="C95" s="320"/>
      <c r="D95" s="321"/>
      <c r="E95" s="322"/>
      <c r="F95" s="323"/>
      <c r="G95" s="324"/>
      <c r="H95" s="324"/>
      <c r="I95" s="34"/>
      <c r="J95" s="19"/>
      <c r="K95" s="19"/>
      <c r="L95" s="19"/>
    </row>
    <row r="96" spans="1:13" ht="13.5" x14ac:dyDescent="0.25">
      <c r="A96" s="19"/>
      <c r="B96" s="320"/>
      <c r="C96" s="320"/>
      <c r="D96" s="321"/>
      <c r="E96" s="322"/>
      <c r="F96" s="323"/>
      <c r="G96" s="324"/>
      <c r="H96" s="324"/>
      <c r="I96" s="34"/>
      <c r="J96" s="19"/>
      <c r="K96" s="19"/>
      <c r="L96" s="19"/>
    </row>
    <row r="97" spans="1:12" ht="13.5" x14ac:dyDescent="0.25">
      <c r="A97" s="35" t="s">
        <v>50</v>
      </c>
      <c r="B97" s="36"/>
      <c r="C97" s="36"/>
      <c r="D97" s="36"/>
      <c r="E97" s="36"/>
      <c r="F97" s="36"/>
      <c r="G97" s="37"/>
      <c r="H97" s="37"/>
      <c r="I97" s="38"/>
      <c r="J97" s="19"/>
      <c r="K97" s="19"/>
      <c r="L97" s="19"/>
    </row>
  </sheetData>
  <mergeCells count="31">
    <mergeCell ref="C90:I90"/>
    <mergeCell ref="A1:L1"/>
    <mergeCell ref="A3:L3"/>
    <mergeCell ref="C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92:C92"/>
    <mergeCell ref="D92:F92"/>
    <mergeCell ref="G92:H92"/>
    <mergeCell ref="B93:C93"/>
    <mergeCell ref="D93:F93"/>
    <mergeCell ref="G93:H93"/>
    <mergeCell ref="B96:C96"/>
    <mergeCell ref="D96:F96"/>
    <mergeCell ref="G96:H96"/>
    <mergeCell ref="B94:C94"/>
    <mergeCell ref="D94:F94"/>
    <mergeCell ref="G94:H94"/>
    <mergeCell ref="B95:C95"/>
    <mergeCell ref="D95:F95"/>
    <mergeCell ref="G95:H9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zoomScale="150" zoomScaleNormal="15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I33" sqref="I33"/>
    </sheetView>
  </sheetViews>
  <sheetFormatPr baseColWidth="10" defaultColWidth="16.5703125" defaultRowHeight="12.75" x14ac:dyDescent="0.2"/>
  <cols>
    <col min="1" max="1" width="16.5703125" style="1" customWidth="1"/>
    <col min="2" max="5" width="12.7109375" style="1" customWidth="1"/>
    <col min="6" max="6" width="6.5703125" style="1" bestFit="1" customWidth="1"/>
    <col min="7" max="11" width="12.7109375" style="1" customWidth="1"/>
    <col min="12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4" ht="15.75" x14ac:dyDescent="0.25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5.75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ht="15.75" x14ac:dyDescent="0.25">
      <c r="A4" s="3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4" ht="15.75" x14ac:dyDescent="0.25">
      <c r="A5" s="3" t="s">
        <v>2</v>
      </c>
      <c r="B5" s="5"/>
      <c r="C5" s="5"/>
      <c r="D5" s="5"/>
      <c r="E5" s="6"/>
      <c r="F5" s="6"/>
      <c r="G5" s="6"/>
    </row>
    <row r="6" spans="1:14" ht="13.5" x14ac:dyDescent="0.25">
      <c r="C6" s="335" t="s">
        <v>3</v>
      </c>
      <c r="D6" s="335"/>
      <c r="E6" s="336"/>
      <c r="F6" s="336"/>
      <c r="G6" s="336"/>
      <c r="H6" s="335" t="s">
        <v>4</v>
      </c>
      <c r="I6" s="335"/>
      <c r="J6" s="335"/>
      <c r="K6" s="335"/>
    </row>
    <row r="7" spans="1:14" ht="13.5" x14ac:dyDescent="0.25">
      <c r="A7" s="337" t="s">
        <v>5</v>
      </c>
      <c r="B7" s="339" t="s">
        <v>6</v>
      </c>
      <c r="C7" s="339" t="s">
        <v>7</v>
      </c>
      <c r="D7" s="339" t="s">
        <v>8</v>
      </c>
      <c r="E7" s="340" t="s">
        <v>9</v>
      </c>
      <c r="F7" s="340" t="s">
        <v>10</v>
      </c>
      <c r="G7" s="337" t="s">
        <v>11</v>
      </c>
      <c r="H7" s="340" t="s">
        <v>12</v>
      </c>
      <c r="I7" s="340" t="s">
        <v>13</v>
      </c>
      <c r="J7" s="340" t="s">
        <v>14</v>
      </c>
      <c r="K7" s="340" t="s">
        <v>15</v>
      </c>
      <c r="L7" s="92" t="s">
        <v>16</v>
      </c>
    </row>
    <row r="8" spans="1:14" ht="13.5" x14ac:dyDescent="0.2">
      <c r="A8" s="338"/>
      <c r="B8" s="339"/>
      <c r="C8" s="339"/>
      <c r="D8" s="339"/>
      <c r="E8" s="340"/>
      <c r="F8" s="340"/>
      <c r="G8" s="338"/>
      <c r="H8" s="340"/>
      <c r="I8" s="340"/>
      <c r="J8" s="340"/>
      <c r="K8" s="340"/>
      <c r="L8" s="8" t="s">
        <v>17</v>
      </c>
    </row>
    <row r="9" spans="1:14" s="17" customFormat="1" ht="13.5" x14ac:dyDescent="0.25">
      <c r="A9" s="9" t="s">
        <v>18</v>
      </c>
      <c r="B9" s="10">
        <v>10284399.08</v>
      </c>
      <c r="C9" s="10">
        <v>4241319.95</v>
      </c>
      <c r="D9" s="11">
        <v>0</v>
      </c>
      <c r="E9" s="10">
        <v>1326848.48</v>
      </c>
      <c r="F9" s="12">
        <f>+E9/C9</f>
        <v>0.31283857281269239</v>
      </c>
      <c r="G9" s="10">
        <f t="shared" ref="G9:G20" si="0">+C9+D9-E9</f>
        <v>2914471.47</v>
      </c>
      <c r="H9" s="13">
        <f>191969.3+2623092.4</f>
        <v>2815061.6999999997</v>
      </c>
      <c r="I9" s="14">
        <f>129996.6+17400</f>
        <v>147396.6</v>
      </c>
      <c r="J9" s="14">
        <f>4429+43557.83</f>
        <v>47986.83</v>
      </c>
      <c r="K9" s="14">
        <f>H9+I9-J9</f>
        <v>2914471.4699999997</v>
      </c>
      <c r="L9" s="15">
        <f>+F9</f>
        <v>0.31283857281269239</v>
      </c>
      <c r="M9" s="46">
        <f>+K9-G9</f>
        <v>0</v>
      </c>
      <c r="N9" s="16"/>
    </row>
    <row r="10" spans="1:14" ht="13.5" x14ac:dyDescent="0.2">
      <c r="A10" s="9" t="s">
        <v>20</v>
      </c>
      <c r="B10" s="10">
        <v>25204741</v>
      </c>
      <c r="C10" s="10">
        <v>5023007.03</v>
      </c>
      <c r="D10" s="11">
        <v>0</v>
      </c>
      <c r="E10" s="10">
        <v>5253990.1500000004</v>
      </c>
      <c r="F10" s="12">
        <f t="shared" ref="F10:F15" si="1">+E10/C10</f>
        <v>1.0459850282152601</v>
      </c>
      <c r="G10" s="10">
        <f t="shared" si="0"/>
        <v>-230983.12000000011</v>
      </c>
      <c r="H10" s="13">
        <f>70563.59-127427.57</f>
        <v>-56863.98000000001</v>
      </c>
      <c r="I10" s="14">
        <v>190712.37</v>
      </c>
      <c r="J10" s="14">
        <f>335259+29572.51</f>
        <v>364831.51</v>
      </c>
      <c r="K10" s="14">
        <f t="shared" ref="K10:K18" si="2">H10+I10-J10</f>
        <v>-230983.12000000002</v>
      </c>
      <c r="L10" s="15">
        <f t="shared" ref="L10:L20" si="3">+F10</f>
        <v>1.0459850282152601</v>
      </c>
      <c r="M10" s="46">
        <f>+K10-G10</f>
        <v>0</v>
      </c>
      <c r="N10" s="18"/>
    </row>
    <row r="11" spans="1:14" ht="13.5" x14ac:dyDescent="0.2">
      <c r="A11" s="9" t="s">
        <v>21</v>
      </c>
      <c r="B11" s="10"/>
      <c r="C11" s="10">
        <v>46443</v>
      </c>
      <c r="D11" s="11">
        <v>0</v>
      </c>
      <c r="E11" s="11">
        <v>0</v>
      </c>
      <c r="F11" s="12">
        <f t="shared" si="1"/>
        <v>0</v>
      </c>
      <c r="G11" s="10">
        <f t="shared" si="0"/>
        <v>46443</v>
      </c>
      <c r="H11" s="13">
        <v>47443</v>
      </c>
      <c r="I11" s="14">
        <v>0</v>
      </c>
      <c r="J11" s="14">
        <v>1000</v>
      </c>
      <c r="K11" s="14">
        <f t="shared" si="2"/>
        <v>46443</v>
      </c>
      <c r="L11" s="15">
        <f t="shared" si="3"/>
        <v>0</v>
      </c>
      <c r="M11" s="46">
        <f>+K11-G11</f>
        <v>0</v>
      </c>
    </row>
    <row r="12" spans="1:14" ht="13.5" x14ac:dyDescent="0.2">
      <c r="A12" s="9" t="s">
        <v>22</v>
      </c>
      <c r="B12" s="10"/>
      <c r="C12" s="10">
        <v>97167</v>
      </c>
      <c r="D12" s="11">
        <v>0</v>
      </c>
      <c r="E12" s="11">
        <v>0</v>
      </c>
      <c r="F12" s="12">
        <f t="shared" si="1"/>
        <v>0</v>
      </c>
      <c r="G12" s="10">
        <f t="shared" si="0"/>
        <v>97167</v>
      </c>
      <c r="H12" s="13">
        <v>98167</v>
      </c>
      <c r="I12" s="14"/>
      <c r="J12" s="14">
        <v>1000</v>
      </c>
      <c r="K12" s="14">
        <f t="shared" si="2"/>
        <v>97167</v>
      </c>
      <c r="L12" s="15">
        <f t="shared" si="3"/>
        <v>0</v>
      </c>
      <c r="M12" s="46">
        <f>+K12-G12</f>
        <v>0</v>
      </c>
    </row>
    <row r="13" spans="1:14" ht="13.5" x14ac:dyDescent="0.2">
      <c r="A13" s="9" t="s">
        <v>23</v>
      </c>
      <c r="B13" s="10"/>
      <c r="C13" s="10">
        <v>326829</v>
      </c>
      <c r="D13" s="11">
        <v>0</v>
      </c>
      <c r="E13" s="11">
        <v>0</v>
      </c>
      <c r="F13" s="12">
        <f t="shared" si="1"/>
        <v>0</v>
      </c>
      <c r="G13" s="10">
        <f t="shared" si="0"/>
        <v>326829</v>
      </c>
      <c r="H13" s="13">
        <v>327829</v>
      </c>
      <c r="I13" s="14"/>
      <c r="J13" s="14">
        <v>1000</v>
      </c>
      <c r="K13" s="14">
        <f t="shared" si="2"/>
        <v>326829</v>
      </c>
      <c r="L13" s="15">
        <f t="shared" si="3"/>
        <v>0</v>
      </c>
      <c r="M13" s="46">
        <f t="shared" ref="M13:M19" si="4">+K13-G13</f>
        <v>0</v>
      </c>
    </row>
    <row r="14" spans="1:14" ht="13.5" x14ac:dyDescent="0.2">
      <c r="A14" s="9" t="s">
        <v>24</v>
      </c>
      <c r="B14" s="10"/>
      <c r="C14" s="10">
        <v>1157113.1100000001</v>
      </c>
      <c r="D14" s="11">
        <v>0</v>
      </c>
      <c r="E14" s="10">
        <v>406011</v>
      </c>
      <c r="F14" s="12">
        <f t="shared" si="1"/>
        <v>0.35088272398884146</v>
      </c>
      <c r="G14" s="10">
        <f t="shared" si="0"/>
        <v>751102.1100000001</v>
      </c>
      <c r="H14" s="13">
        <v>777590.95</v>
      </c>
      <c r="I14" s="14">
        <v>0</v>
      </c>
      <c r="J14" s="14">
        <f>167+26325</f>
        <v>26492</v>
      </c>
      <c r="K14" s="14">
        <f t="shared" si="2"/>
        <v>751098.95</v>
      </c>
      <c r="L14" s="15">
        <f t="shared" si="3"/>
        <v>0.35088272398884146</v>
      </c>
      <c r="M14" s="48">
        <f t="shared" si="4"/>
        <v>-3.1600000001490116</v>
      </c>
    </row>
    <row r="15" spans="1:14" ht="13.5" x14ac:dyDescent="0.2">
      <c r="A15" s="9" t="s">
        <v>25</v>
      </c>
      <c r="B15" s="10"/>
      <c r="C15" s="10">
        <v>153441</v>
      </c>
      <c r="D15" s="11">
        <v>0</v>
      </c>
      <c r="E15" s="10">
        <v>9717.48</v>
      </c>
      <c r="F15" s="12">
        <f t="shared" si="1"/>
        <v>6.3330400610006443E-2</v>
      </c>
      <c r="G15" s="10">
        <f t="shared" si="0"/>
        <v>143723.51999999999</v>
      </c>
      <c r="H15" s="13">
        <v>144723.51999999999</v>
      </c>
      <c r="I15" s="14">
        <v>0</v>
      </c>
      <c r="J15" s="14">
        <v>1000</v>
      </c>
      <c r="K15" s="14">
        <f t="shared" si="2"/>
        <v>143723.51999999999</v>
      </c>
      <c r="L15" s="15">
        <f t="shared" si="3"/>
        <v>6.3330400610006443E-2</v>
      </c>
      <c r="M15" s="46">
        <f t="shared" si="4"/>
        <v>0</v>
      </c>
    </row>
    <row r="16" spans="1:14" ht="13.5" x14ac:dyDescent="0.2">
      <c r="A16" s="9" t="s">
        <v>26</v>
      </c>
      <c r="B16" s="10"/>
      <c r="C16" s="11">
        <v>0</v>
      </c>
      <c r="D16" s="11"/>
      <c r="E16" s="11">
        <v>0</v>
      </c>
      <c r="F16" s="12">
        <v>0</v>
      </c>
      <c r="G16" s="14">
        <f t="shared" si="0"/>
        <v>0</v>
      </c>
      <c r="H16" s="11"/>
      <c r="I16" s="14">
        <v>0</v>
      </c>
      <c r="J16" s="14">
        <v>0</v>
      </c>
      <c r="K16" s="14">
        <f t="shared" si="2"/>
        <v>0</v>
      </c>
      <c r="L16" s="15">
        <f t="shared" si="3"/>
        <v>0</v>
      </c>
      <c r="M16" s="47">
        <f t="shared" si="4"/>
        <v>0</v>
      </c>
    </row>
    <row r="17" spans="1:15" ht="13.5" x14ac:dyDescent="0.2">
      <c r="A17" s="9" t="s">
        <v>27</v>
      </c>
      <c r="B17" s="10"/>
      <c r="C17" s="11">
        <v>0</v>
      </c>
      <c r="D17" s="11">
        <v>0</v>
      </c>
      <c r="E17" s="11">
        <v>0</v>
      </c>
      <c r="F17" s="12">
        <v>0</v>
      </c>
      <c r="G17" s="14">
        <f t="shared" si="0"/>
        <v>0</v>
      </c>
      <c r="H17" s="11"/>
      <c r="I17" s="14">
        <v>0</v>
      </c>
      <c r="J17" s="14">
        <v>0</v>
      </c>
      <c r="K17" s="14">
        <f t="shared" si="2"/>
        <v>0</v>
      </c>
      <c r="L17" s="15">
        <f t="shared" si="3"/>
        <v>0</v>
      </c>
      <c r="M17" s="47">
        <f t="shared" si="4"/>
        <v>0</v>
      </c>
    </row>
    <row r="18" spans="1:15" ht="13.5" x14ac:dyDescent="0.2">
      <c r="A18" s="9" t="s">
        <v>28</v>
      </c>
      <c r="B18" s="10"/>
      <c r="C18" s="10">
        <v>11943.06</v>
      </c>
      <c r="D18" s="11">
        <v>0</v>
      </c>
      <c r="E18" s="11">
        <v>0</v>
      </c>
      <c r="F18" s="12">
        <f>+E18/C18</f>
        <v>0</v>
      </c>
      <c r="G18" s="10">
        <f t="shared" si="0"/>
        <v>11943.06</v>
      </c>
      <c r="H18" s="13">
        <v>12943.06</v>
      </c>
      <c r="I18" s="14">
        <v>0</v>
      </c>
      <c r="J18" s="14">
        <v>1000</v>
      </c>
      <c r="K18" s="14">
        <f t="shared" si="2"/>
        <v>11943.06</v>
      </c>
      <c r="L18" s="15">
        <f t="shared" si="3"/>
        <v>0</v>
      </c>
      <c r="M18" s="48">
        <f t="shared" si="4"/>
        <v>0</v>
      </c>
      <c r="N18" s="18"/>
    </row>
    <row r="19" spans="1:15" ht="13.5" x14ac:dyDescent="0.2">
      <c r="A19" s="9" t="s">
        <v>29</v>
      </c>
      <c r="B19" s="10"/>
      <c r="C19" s="10">
        <v>8391819</v>
      </c>
      <c r="D19" s="11">
        <v>0</v>
      </c>
      <c r="E19" s="11">
        <v>0</v>
      </c>
      <c r="F19" s="12">
        <f>+E19/C19</f>
        <v>0</v>
      </c>
      <c r="G19" s="10">
        <f t="shared" si="0"/>
        <v>8391819</v>
      </c>
      <c r="H19" s="13">
        <v>8392819</v>
      </c>
      <c r="I19" s="14">
        <v>0</v>
      </c>
      <c r="J19" s="14">
        <v>1000</v>
      </c>
      <c r="K19" s="14">
        <f>H19+I19-J19</f>
        <v>8391819</v>
      </c>
      <c r="L19" s="15">
        <f t="shared" si="3"/>
        <v>0</v>
      </c>
      <c r="M19" s="46">
        <f t="shared" si="4"/>
        <v>0</v>
      </c>
      <c r="N19" s="18"/>
      <c r="O19" s="18"/>
    </row>
    <row r="20" spans="1:15" ht="13.5" x14ac:dyDescent="0.2">
      <c r="A20" s="9" t="s">
        <v>30</v>
      </c>
      <c r="B20" s="10">
        <v>19272339</v>
      </c>
      <c r="C20" s="10">
        <v>5292744</v>
      </c>
      <c r="D20" s="11">
        <v>0</v>
      </c>
      <c r="E20" s="10">
        <v>3587068.8</v>
      </c>
      <c r="F20" s="12">
        <f>+E20/C20</f>
        <v>0.67773328919743703</v>
      </c>
      <c r="G20" s="10">
        <f t="shared" si="0"/>
        <v>1705675.2000000002</v>
      </c>
      <c r="H20" s="13">
        <v>1762573.2</v>
      </c>
      <c r="I20" s="14">
        <v>0</v>
      </c>
      <c r="J20" s="14">
        <f>1000+55898</f>
        <v>56898</v>
      </c>
      <c r="K20" s="14">
        <f>H20+I20-J20</f>
        <v>1705675.2</v>
      </c>
      <c r="L20" s="15">
        <f t="shared" si="3"/>
        <v>0.67773328919743703</v>
      </c>
      <c r="M20" s="46">
        <f>+K20-G20</f>
        <v>0</v>
      </c>
      <c r="N20" s="19"/>
      <c r="O20" s="18"/>
    </row>
    <row r="21" spans="1:15" s="5" customFormat="1" ht="13.5" x14ac:dyDescent="0.2">
      <c r="A21" s="20" t="s">
        <v>51</v>
      </c>
      <c r="B21" s="21">
        <f t="shared" ref="B21:K21" si="5">SUM(B9:B20)</f>
        <v>54761479.079999998</v>
      </c>
      <c r="C21" s="21">
        <f t="shared" si="5"/>
        <v>24741826.149999999</v>
      </c>
      <c r="D21" s="21">
        <f t="shared" si="5"/>
        <v>0</v>
      </c>
      <c r="E21" s="21">
        <f t="shared" si="5"/>
        <v>10583635.91</v>
      </c>
      <c r="F21" s="21">
        <f t="shared" si="5"/>
        <v>2.4507700148242373</v>
      </c>
      <c r="G21" s="21">
        <f t="shared" si="5"/>
        <v>14158190.239999998</v>
      </c>
      <c r="H21" s="21">
        <f t="shared" si="5"/>
        <v>14322286.449999999</v>
      </c>
      <c r="I21" s="21">
        <f t="shared" si="5"/>
        <v>338108.97</v>
      </c>
      <c r="J21" s="21">
        <f t="shared" si="5"/>
        <v>502208.34</v>
      </c>
      <c r="K21" s="21">
        <f t="shared" si="5"/>
        <v>14158187.079999998</v>
      </c>
      <c r="L21" s="23"/>
      <c r="M21" s="46">
        <f>+K21-G21</f>
        <v>-3.1600000001490116</v>
      </c>
    </row>
    <row r="22" spans="1:15" s="17" customFormat="1" ht="13.5" x14ac:dyDescent="0.25">
      <c r="A22" s="9" t="s">
        <v>18</v>
      </c>
      <c r="B22" s="10">
        <v>9497181.3399999999</v>
      </c>
      <c r="C22" s="10">
        <v>9497181.3399999999</v>
      </c>
      <c r="D22" s="11">
        <v>0</v>
      </c>
      <c r="E22" s="10">
        <v>8522902.6999999993</v>
      </c>
      <c r="F22" s="12">
        <f>+E22/C22</f>
        <v>0.89741391628518696</v>
      </c>
      <c r="G22" s="10">
        <f>+C22+D22-E22</f>
        <v>974278.6400000006</v>
      </c>
      <c r="H22" s="13">
        <f>781984.35-0.47</f>
        <v>781983.88</v>
      </c>
      <c r="I22" s="14">
        <f>22013.2+172259.48</f>
        <v>194272.68000000002</v>
      </c>
      <c r="J22" s="14">
        <f>-4302.52+6280.44</f>
        <v>1977.9199999999992</v>
      </c>
      <c r="K22" s="14">
        <f>H22+I22-J22</f>
        <v>974278.64</v>
      </c>
      <c r="L22" s="15">
        <f>+F22</f>
        <v>0.89741391628518696</v>
      </c>
      <c r="M22" s="16">
        <f t="shared" ref="M22:M33" si="6">+K22-G22</f>
        <v>0</v>
      </c>
    </row>
    <row r="23" spans="1:15" ht="13.5" x14ac:dyDescent="0.2">
      <c r="A23" s="9" t="s">
        <v>20</v>
      </c>
      <c r="B23" s="10">
        <v>28461059.77</v>
      </c>
      <c r="C23" s="10">
        <f>+B23</f>
        <v>28461059.77</v>
      </c>
      <c r="D23" s="11">
        <v>0</v>
      </c>
      <c r="E23" s="10">
        <v>27479996.23</v>
      </c>
      <c r="F23" s="12">
        <f t="shared" ref="F23:F35" si="7">+E23/C23</f>
        <v>0.96552962019235455</v>
      </c>
      <c r="G23" s="10">
        <f>+C23+D23-E23</f>
        <v>981063.53999999911</v>
      </c>
      <c r="H23" s="13">
        <f>170500+1827605.1</f>
        <v>1998105.1</v>
      </c>
      <c r="I23" s="14">
        <v>0</v>
      </c>
      <c r="J23" s="14">
        <f>854134.16+162187.53+719.87</f>
        <v>1017041.56</v>
      </c>
      <c r="K23" s="14">
        <f t="shared" ref="K23:K86" si="8">H23+I23-J23</f>
        <v>981063.54</v>
      </c>
      <c r="L23" s="15">
        <f t="shared" ref="L23:L38" si="9">+F23</f>
        <v>0.96552962019235455</v>
      </c>
      <c r="M23" s="16">
        <f t="shared" si="6"/>
        <v>9.3132257461547852E-10</v>
      </c>
      <c r="N23" s="18"/>
    </row>
    <row r="24" spans="1:15" ht="13.5" x14ac:dyDescent="0.2">
      <c r="A24" s="9" t="s">
        <v>21</v>
      </c>
      <c r="B24" s="10">
        <v>266576.99</v>
      </c>
      <c r="C24" s="10">
        <v>266576.99</v>
      </c>
      <c r="D24" s="11">
        <v>0</v>
      </c>
      <c r="E24" s="10">
        <v>80893</v>
      </c>
      <c r="F24" s="12">
        <f t="shared" si="7"/>
        <v>0.30345079670979858</v>
      </c>
      <c r="G24" s="10">
        <f>+C24+D24-E24</f>
        <v>185683.99</v>
      </c>
      <c r="H24" s="13">
        <v>185683.99</v>
      </c>
      <c r="I24" s="14">
        <v>0</v>
      </c>
      <c r="J24" s="14">
        <v>0</v>
      </c>
      <c r="K24" s="14">
        <f t="shared" si="8"/>
        <v>185683.99</v>
      </c>
      <c r="L24" s="15">
        <f t="shared" si="9"/>
        <v>0.30345079670979858</v>
      </c>
      <c r="M24" s="16">
        <f t="shared" si="6"/>
        <v>0</v>
      </c>
    </row>
    <row r="25" spans="1:15" ht="13.5" x14ac:dyDescent="0.2">
      <c r="A25" s="9" t="s">
        <v>22</v>
      </c>
      <c r="B25" s="10">
        <v>757786.85</v>
      </c>
      <c r="C25" s="10">
        <v>757786.85</v>
      </c>
      <c r="D25" s="10">
        <v>149.51</v>
      </c>
      <c r="E25" s="10">
        <v>201977</v>
      </c>
      <c r="F25" s="12">
        <f t="shared" si="7"/>
        <v>0.26653537205086103</v>
      </c>
      <c r="G25" s="10">
        <f t="shared" ref="G25:G33" si="10">+C25+D25-E25</f>
        <v>555959.36</v>
      </c>
      <c r="H25" s="13">
        <v>555959.36</v>
      </c>
      <c r="I25" s="14">
        <v>0</v>
      </c>
      <c r="J25" s="14">
        <v>0</v>
      </c>
      <c r="K25" s="14">
        <f t="shared" si="8"/>
        <v>555959.36</v>
      </c>
      <c r="L25" s="15">
        <f t="shared" si="9"/>
        <v>0.26653537205086103</v>
      </c>
      <c r="M25" s="16">
        <f t="shared" si="6"/>
        <v>0</v>
      </c>
    </row>
    <row r="26" spans="1:15" ht="13.5" x14ac:dyDescent="0.2">
      <c r="A26" s="9" t="s">
        <v>23</v>
      </c>
      <c r="B26" s="10">
        <v>919872.2</v>
      </c>
      <c r="C26" s="10">
        <v>919872.2</v>
      </c>
      <c r="D26" s="10">
        <v>408.58</v>
      </c>
      <c r="E26" s="10">
        <v>788192.61</v>
      </c>
      <c r="F26" s="12">
        <f t="shared" si="7"/>
        <v>0.85685012548482287</v>
      </c>
      <c r="G26" s="10">
        <f t="shared" si="10"/>
        <v>132088.16999999993</v>
      </c>
      <c r="H26" s="13">
        <v>132088.17000000001</v>
      </c>
      <c r="I26" s="14">
        <v>0</v>
      </c>
      <c r="J26" s="14">
        <v>0</v>
      </c>
      <c r="K26" s="14">
        <f t="shared" si="8"/>
        <v>132088.17000000001</v>
      </c>
      <c r="L26" s="15">
        <f t="shared" si="9"/>
        <v>0.85685012548482287</v>
      </c>
      <c r="M26" s="16">
        <f t="shared" si="6"/>
        <v>0</v>
      </c>
    </row>
    <row r="27" spans="1:15" ht="13.5" x14ac:dyDescent="0.2">
      <c r="A27" s="9" t="s">
        <v>24</v>
      </c>
      <c r="B27" s="10">
        <v>0</v>
      </c>
      <c r="C27" s="10">
        <f>13636634.35-13212786.17</f>
        <v>423848.1799999997</v>
      </c>
      <c r="D27" s="11">
        <v>0</v>
      </c>
      <c r="E27" s="10">
        <v>0</v>
      </c>
      <c r="F27" s="12">
        <f t="shared" si="7"/>
        <v>0</v>
      </c>
      <c r="G27" s="10">
        <f>+C27+D27-E27</f>
        <v>423848.1799999997</v>
      </c>
      <c r="H27" s="13">
        <v>720930.97</v>
      </c>
      <c r="I27" s="14">
        <v>1120</v>
      </c>
      <c r="J27" s="14">
        <f>287062+8756.79+2388</f>
        <v>298206.78999999998</v>
      </c>
      <c r="K27" s="14">
        <f t="shared" si="8"/>
        <v>423844.18</v>
      </c>
      <c r="L27" s="15">
        <f t="shared" si="9"/>
        <v>0</v>
      </c>
      <c r="M27" s="49">
        <f t="shared" si="6"/>
        <v>-3.9999999997089617</v>
      </c>
    </row>
    <row r="28" spans="1:15" ht="13.5" x14ac:dyDescent="0.2">
      <c r="A28" s="9" t="s">
        <v>25</v>
      </c>
      <c r="B28" s="10">
        <v>868753.03</v>
      </c>
      <c r="C28" s="10">
        <v>868753.03</v>
      </c>
      <c r="D28" s="10">
        <v>131.31</v>
      </c>
      <c r="E28" s="10">
        <v>542712.97</v>
      </c>
      <c r="F28" s="12">
        <f t="shared" si="7"/>
        <v>0.624703398156781</v>
      </c>
      <c r="G28" s="10">
        <f t="shared" si="10"/>
        <v>326171.37000000011</v>
      </c>
      <c r="H28" s="13">
        <v>326171.37</v>
      </c>
      <c r="I28" s="14">
        <v>0</v>
      </c>
      <c r="J28" s="14">
        <v>0</v>
      </c>
      <c r="K28" s="14">
        <f t="shared" si="8"/>
        <v>326171.37</v>
      </c>
      <c r="L28" s="15">
        <f t="shared" si="9"/>
        <v>0.624703398156781</v>
      </c>
      <c r="M28" s="16">
        <f t="shared" si="6"/>
        <v>0</v>
      </c>
    </row>
    <row r="29" spans="1:15" ht="13.5" x14ac:dyDescent="0.2">
      <c r="A29" s="9" t="s">
        <v>26</v>
      </c>
      <c r="B29" s="10">
        <v>0</v>
      </c>
      <c r="C29" s="10">
        <v>0</v>
      </c>
      <c r="D29" s="11">
        <v>0</v>
      </c>
      <c r="E29" s="10">
        <v>0</v>
      </c>
      <c r="F29" s="12">
        <v>0</v>
      </c>
      <c r="G29" s="14">
        <f t="shared" si="10"/>
        <v>0</v>
      </c>
      <c r="H29" s="11">
        <v>0</v>
      </c>
      <c r="I29" s="14">
        <v>0</v>
      </c>
      <c r="J29" s="14">
        <v>0</v>
      </c>
      <c r="K29" s="14">
        <f t="shared" si="8"/>
        <v>0</v>
      </c>
      <c r="L29" s="15">
        <f t="shared" si="9"/>
        <v>0</v>
      </c>
      <c r="M29" s="16">
        <f t="shared" si="6"/>
        <v>0</v>
      </c>
    </row>
    <row r="30" spans="1:15" ht="13.5" x14ac:dyDescent="0.2">
      <c r="A30" s="9" t="s">
        <v>27</v>
      </c>
      <c r="B30" s="10">
        <v>0</v>
      </c>
      <c r="C30" s="10">
        <v>0</v>
      </c>
      <c r="D30" s="11">
        <v>0</v>
      </c>
      <c r="E30" s="10">
        <v>0</v>
      </c>
      <c r="F30" s="12">
        <v>0</v>
      </c>
      <c r="G30" s="14">
        <f t="shared" si="10"/>
        <v>0</v>
      </c>
      <c r="H30" s="11">
        <v>0</v>
      </c>
      <c r="I30" s="14">
        <v>0</v>
      </c>
      <c r="J30" s="14">
        <v>0</v>
      </c>
      <c r="K30" s="14">
        <f t="shared" si="8"/>
        <v>0</v>
      </c>
      <c r="L30" s="15">
        <f t="shared" si="9"/>
        <v>0</v>
      </c>
      <c r="M30" s="16">
        <f t="shared" si="6"/>
        <v>0</v>
      </c>
    </row>
    <row r="31" spans="1:15" ht="13.5" x14ac:dyDescent="0.2">
      <c r="A31" s="9" t="s">
        <v>27</v>
      </c>
      <c r="B31" s="10">
        <v>573447.68000000005</v>
      </c>
      <c r="C31" s="10">
        <v>573447.68999999994</v>
      </c>
      <c r="D31" s="11">
        <v>0</v>
      </c>
      <c r="E31" s="10">
        <v>569680.31999999995</v>
      </c>
      <c r="F31" s="12">
        <f t="shared" si="7"/>
        <v>0.99343031619850108</v>
      </c>
      <c r="G31" s="10">
        <f t="shared" si="10"/>
        <v>3767.3699999999953</v>
      </c>
      <c r="H31" s="13">
        <v>3767.37</v>
      </c>
      <c r="I31" s="14">
        <v>0</v>
      </c>
      <c r="J31" s="14">
        <v>0</v>
      </c>
      <c r="K31" s="14">
        <f t="shared" si="8"/>
        <v>3767.37</v>
      </c>
      <c r="L31" s="15">
        <f t="shared" si="9"/>
        <v>0.99343031619850108</v>
      </c>
      <c r="M31" s="16">
        <f t="shared" si="6"/>
        <v>4.5474735088646412E-12</v>
      </c>
    </row>
    <row r="32" spans="1:15" ht="13.5" x14ac:dyDescent="0.2">
      <c r="A32" s="9" t="s">
        <v>28</v>
      </c>
      <c r="B32" s="10">
        <v>36484.65</v>
      </c>
      <c r="C32" s="10">
        <v>36484.65</v>
      </c>
      <c r="D32" s="11">
        <v>0</v>
      </c>
      <c r="E32" s="10">
        <v>0</v>
      </c>
      <c r="F32" s="12">
        <f t="shared" si="7"/>
        <v>0</v>
      </c>
      <c r="G32" s="10">
        <f t="shared" si="10"/>
        <v>36484.65</v>
      </c>
      <c r="H32" s="13">
        <v>36484.65</v>
      </c>
      <c r="I32" s="14">
        <v>0</v>
      </c>
      <c r="J32" s="14">
        <v>0</v>
      </c>
      <c r="K32" s="14">
        <f t="shared" si="8"/>
        <v>36484.65</v>
      </c>
      <c r="L32" s="15">
        <f t="shared" si="9"/>
        <v>0</v>
      </c>
      <c r="M32" s="16">
        <f t="shared" si="6"/>
        <v>0</v>
      </c>
    </row>
    <row r="33" spans="1:15" ht="13.5" x14ac:dyDescent="0.2">
      <c r="A33" s="9" t="s">
        <v>29</v>
      </c>
      <c r="B33" s="10"/>
      <c r="C33" s="10">
        <f>25802087+2061.7-21535015.98</f>
        <v>4269132.7199999988</v>
      </c>
      <c r="D33" s="45">
        <v>0</v>
      </c>
      <c r="E33" s="10">
        <v>0</v>
      </c>
      <c r="F33" s="12">
        <f t="shared" si="7"/>
        <v>0</v>
      </c>
      <c r="G33" s="10">
        <f t="shared" si="10"/>
        <v>4269132.7199999988</v>
      </c>
      <c r="H33" s="13">
        <f>4103015.9+280000</f>
        <v>4383015.9000000004</v>
      </c>
      <c r="I33" s="14">
        <v>0</v>
      </c>
      <c r="J33" s="14">
        <f>20016.25+101234.5+88489.25+26849.25</f>
        <v>236589.25</v>
      </c>
      <c r="K33" s="14">
        <f>H33+I33-J33</f>
        <v>4146426.6500000004</v>
      </c>
      <c r="L33" s="15">
        <f t="shared" si="9"/>
        <v>0</v>
      </c>
      <c r="M33" s="16">
        <f t="shared" si="6"/>
        <v>-122706.06999999844</v>
      </c>
      <c r="N33" s="18"/>
      <c r="O33" s="18"/>
    </row>
    <row r="34" spans="1:15" ht="13.5" x14ac:dyDescent="0.2">
      <c r="A34" s="9" t="s">
        <v>30</v>
      </c>
      <c r="B34" s="10">
        <v>0</v>
      </c>
      <c r="C34" s="10">
        <f>1296554.55-1984</f>
        <v>1294570.55</v>
      </c>
      <c r="D34" s="10">
        <v>0</v>
      </c>
      <c r="E34" s="10">
        <v>1101765.3</v>
      </c>
      <c r="F34" s="12">
        <f t="shared" si="7"/>
        <v>0.85106624741309</v>
      </c>
      <c r="G34" s="10">
        <f>+C34+D34-E34</f>
        <v>192805.25</v>
      </c>
      <c r="H34" s="13">
        <v>484505.73</v>
      </c>
      <c r="I34" s="14">
        <v>0</v>
      </c>
      <c r="J34" s="14">
        <f>117121+174579.48</f>
        <v>291700.47999999998</v>
      </c>
      <c r="K34" s="14">
        <f>H34+I34-J34</f>
        <v>192805.25</v>
      </c>
      <c r="L34" s="15">
        <f t="shared" si="9"/>
        <v>0.85106624741309</v>
      </c>
      <c r="M34" s="16">
        <f>+K34-G34</f>
        <v>0</v>
      </c>
      <c r="N34" s="19"/>
      <c r="O34" s="18"/>
    </row>
    <row r="35" spans="1:15" ht="13.5" x14ac:dyDescent="0.2">
      <c r="A35" s="9" t="s">
        <v>31</v>
      </c>
      <c r="B35" s="10">
        <v>700000</v>
      </c>
      <c r="C35" s="10">
        <v>700000</v>
      </c>
      <c r="D35" s="11">
        <v>0</v>
      </c>
      <c r="E35" s="10">
        <v>700000</v>
      </c>
      <c r="F35" s="12">
        <f t="shared" si="7"/>
        <v>1</v>
      </c>
      <c r="G35" s="11">
        <v>0</v>
      </c>
      <c r="H35" s="13">
        <v>9956.9</v>
      </c>
      <c r="I35" s="14">
        <v>0</v>
      </c>
      <c r="J35" s="14">
        <f>6034.48+3017.24+905.18</f>
        <v>9956.9</v>
      </c>
      <c r="K35" s="14">
        <f t="shared" si="8"/>
        <v>0</v>
      </c>
      <c r="L35" s="15">
        <f t="shared" si="9"/>
        <v>1</v>
      </c>
      <c r="M35" s="16">
        <f t="shared" ref="M35:M98" si="11">+K35-G35</f>
        <v>0</v>
      </c>
    </row>
    <row r="36" spans="1:15" ht="13.5" x14ac:dyDescent="0.2">
      <c r="A36" s="9">
        <v>3001</v>
      </c>
      <c r="B36" s="11">
        <v>0</v>
      </c>
      <c r="C36" s="11">
        <v>0</v>
      </c>
      <c r="D36" s="11">
        <v>0</v>
      </c>
      <c r="E36" s="10">
        <v>0</v>
      </c>
      <c r="F36" s="12">
        <v>0</v>
      </c>
      <c r="G36" s="11">
        <v>0</v>
      </c>
      <c r="H36" s="11">
        <v>0</v>
      </c>
      <c r="I36" s="14">
        <v>0</v>
      </c>
      <c r="J36" s="14">
        <v>0</v>
      </c>
      <c r="K36" s="14">
        <f t="shared" si="8"/>
        <v>0</v>
      </c>
      <c r="L36" s="15">
        <f t="shared" si="9"/>
        <v>0</v>
      </c>
      <c r="M36" s="16">
        <f t="shared" si="11"/>
        <v>0</v>
      </c>
    </row>
    <row r="37" spans="1:15" ht="13.5" x14ac:dyDescent="0.2">
      <c r="A37" s="9">
        <v>3002</v>
      </c>
      <c r="B37" s="11">
        <v>0</v>
      </c>
      <c r="C37" s="11">
        <v>0</v>
      </c>
      <c r="D37" s="11">
        <v>0</v>
      </c>
      <c r="E37" s="10">
        <v>0</v>
      </c>
      <c r="F37" s="12">
        <v>0</v>
      </c>
      <c r="G37" s="11">
        <v>0</v>
      </c>
      <c r="H37" s="11">
        <v>0</v>
      </c>
      <c r="I37" s="14">
        <v>0</v>
      </c>
      <c r="J37" s="14">
        <v>0</v>
      </c>
      <c r="K37" s="14">
        <f t="shared" si="8"/>
        <v>0</v>
      </c>
      <c r="L37" s="15">
        <f t="shared" si="9"/>
        <v>0</v>
      </c>
      <c r="M37" s="16">
        <f t="shared" si="11"/>
        <v>0</v>
      </c>
    </row>
    <row r="38" spans="1:15" ht="13.5" x14ac:dyDescent="0.2">
      <c r="A38" s="9" t="s">
        <v>32</v>
      </c>
      <c r="B38" s="10">
        <v>1483500</v>
      </c>
      <c r="C38" s="10">
        <v>1483500</v>
      </c>
      <c r="D38" s="11">
        <v>0</v>
      </c>
      <c r="E38" s="10">
        <v>1483500</v>
      </c>
      <c r="F38" s="12">
        <f>+E38/C38</f>
        <v>1</v>
      </c>
      <c r="G38" s="11">
        <v>0</v>
      </c>
      <c r="H38" s="13">
        <v>21101.51</v>
      </c>
      <c r="I38" s="14">
        <v>0</v>
      </c>
      <c r="J38" s="14">
        <f>12788.79+6394.4+1918.32</f>
        <v>21101.510000000002</v>
      </c>
      <c r="K38" s="14">
        <f t="shared" si="8"/>
        <v>0</v>
      </c>
      <c r="L38" s="15">
        <f t="shared" si="9"/>
        <v>1</v>
      </c>
      <c r="M38" s="16">
        <f t="shared" si="11"/>
        <v>0</v>
      </c>
    </row>
    <row r="39" spans="1:15" s="5" customFormat="1" ht="13.5" x14ac:dyDescent="0.2">
      <c r="A39" s="20" t="s">
        <v>33</v>
      </c>
      <c r="B39" s="21">
        <f>SUM(B22:B38)</f>
        <v>43564662.510000005</v>
      </c>
      <c r="C39" s="21">
        <f>SUM(C22:C38)</f>
        <v>49552213.969999999</v>
      </c>
      <c r="D39" s="21">
        <f>SUM(D22:D38)</f>
        <v>689.39999999999986</v>
      </c>
      <c r="E39" s="21">
        <f>SUM(E22:E38)</f>
        <v>41471620.129999995</v>
      </c>
      <c r="F39" s="22">
        <f>+E39/C39</f>
        <v>0.83692769318254534</v>
      </c>
      <c r="G39" s="21">
        <f>SUM(G22:G38)</f>
        <v>8081283.2399999984</v>
      </c>
      <c r="H39" s="21">
        <f>SUM(H22:H38)</f>
        <v>9639754.9000000022</v>
      </c>
      <c r="I39" s="21">
        <f>SUM(I22:I38)</f>
        <v>195392.68000000002</v>
      </c>
      <c r="J39" s="21">
        <f>SUM(J22:J38)</f>
        <v>1876574.41</v>
      </c>
      <c r="K39" s="21">
        <f>SUM(K22:K38)</f>
        <v>7958573.1699999999</v>
      </c>
      <c r="L39" s="23"/>
      <c r="M39" s="16">
        <f t="shared" si="11"/>
        <v>-122710.06999999844</v>
      </c>
    </row>
    <row r="40" spans="1:15" ht="13.5" x14ac:dyDescent="0.2">
      <c r="A40" s="9" t="s">
        <v>18</v>
      </c>
      <c r="B40" s="10">
        <v>0</v>
      </c>
      <c r="C40" s="10">
        <v>0</v>
      </c>
      <c r="D40" s="13"/>
      <c r="E40" s="10">
        <v>0</v>
      </c>
      <c r="F40" s="12">
        <v>0</v>
      </c>
      <c r="G40" s="10">
        <v>4283.6000000000004</v>
      </c>
      <c r="H40" s="10">
        <v>32268.68</v>
      </c>
      <c r="I40" s="10">
        <v>0</v>
      </c>
      <c r="J40" s="10">
        <v>27985.08</v>
      </c>
      <c r="K40" s="10">
        <f t="shared" si="8"/>
        <v>4283.5999999999985</v>
      </c>
      <c r="L40" s="15"/>
      <c r="M40" s="16">
        <f t="shared" si="11"/>
        <v>0</v>
      </c>
    </row>
    <row r="41" spans="1:15" ht="13.5" x14ac:dyDescent="0.2">
      <c r="A41" s="9" t="s">
        <v>20</v>
      </c>
      <c r="B41" s="10">
        <v>0</v>
      </c>
      <c r="C41" s="10">
        <v>0</v>
      </c>
      <c r="D41" s="13"/>
      <c r="E41" s="10">
        <v>0</v>
      </c>
      <c r="F41" s="12">
        <v>0</v>
      </c>
      <c r="G41" s="10">
        <v>45477.47</v>
      </c>
      <c r="H41" s="10">
        <v>45477.47</v>
      </c>
      <c r="I41" s="10">
        <v>0</v>
      </c>
      <c r="J41" s="10">
        <v>0</v>
      </c>
      <c r="K41" s="10">
        <f t="shared" si="8"/>
        <v>45477.47</v>
      </c>
      <c r="L41" s="15"/>
      <c r="M41" s="16">
        <f t="shared" si="11"/>
        <v>0</v>
      </c>
    </row>
    <row r="42" spans="1:15" ht="13.5" x14ac:dyDescent="0.2">
      <c r="A42" s="9" t="s">
        <v>25</v>
      </c>
      <c r="B42" s="10">
        <v>0</v>
      </c>
      <c r="C42" s="10">
        <v>0</v>
      </c>
      <c r="D42" s="13"/>
      <c r="E42" s="10">
        <v>0</v>
      </c>
      <c r="F42" s="12">
        <v>0</v>
      </c>
      <c r="G42" s="10">
        <v>45082.35</v>
      </c>
      <c r="H42" s="10">
        <v>45082.35</v>
      </c>
      <c r="I42" s="10">
        <v>0</v>
      </c>
      <c r="J42" s="10">
        <v>0</v>
      </c>
      <c r="K42" s="10">
        <f t="shared" si="8"/>
        <v>45082.35</v>
      </c>
      <c r="L42" s="15"/>
      <c r="M42" s="16">
        <f t="shared" si="11"/>
        <v>0</v>
      </c>
    </row>
    <row r="43" spans="1:15" ht="13.5" x14ac:dyDescent="0.2">
      <c r="A43" s="9" t="s">
        <v>26</v>
      </c>
      <c r="B43" s="10">
        <v>0</v>
      </c>
      <c r="C43" s="10">
        <v>0</v>
      </c>
      <c r="D43" s="13"/>
      <c r="E43" s="10">
        <v>0</v>
      </c>
      <c r="F43" s="12">
        <v>0</v>
      </c>
      <c r="G43" s="10">
        <v>220218.16</v>
      </c>
      <c r="H43" s="10">
        <v>20218.16</v>
      </c>
      <c r="I43" s="10">
        <v>200000</v>
      </c>
      <c r="J43" s="10">
        <v>0</v>
      </c>
      <c r="K43" s="10">
        <f t="shared" si="8"/>
        <v>220218.16</v>
      </c>
      <c r="L43" s="15"/>
      <c r="M43" s="16">
        <f t="shared" si="11"/>
        <v>0</v>
      </c>
    </row>
    <row r="44" spans="1:15" ht="13.5" x14ac:dyDescent="0.2">
      <c r="A44" s="9" t="s">
        <v>29</v>
      </c>
      <c r="B44" s="10">
        <v>0</v>
      </c>
      <c r="C44" s="10">
        <v>0</v>
      </c>
      <c r="D44" s="11">
        <v>0</v>
      </c>
      <c r="E44" s="10">
        <v>0</v>
      </c>
      <c r="F44" s="12">
        <v>0</v>
      </c>
      <c r="G44" s="10">
        <v>2494385.7599999998</v>
      </c>
      <c r="H44" s="10">
        <f>66.53+2511998.64</f>
        <v>2512065.17</v>
      </c>
      <c r="I44" s="10">
        <v>0</v>
      </c>
      <c r="J44" s="10">
        <v>17679.41</v>
      </c>
      <c r="K44" s="10">
        <f t="shared" si="8"/>
        <v>2494385.7599999998</v>
      </c>
      <c r="L44" s="15"/>
      <c r="M44" s="16">
        <f t="shared" si="11"/>
        <v>0</v>
      </c>
    </row>
    <row r="45" spans="1:15" ht="27" x14ac:dyDescent="0.2">
      <c r="A45" s="9" t="s">
        <v>34</v>
      </c>
      <c r="B45" s="10">
        <v>0</v>
      </c>
      <c r="C45" s="10">
        <v>154782.26</v>
      </c>
      <c r="D45" s="13">
        <v>0</v>
      </c>
      <c r="E45" s="10">
        <v>0</v>
      </c>
      <c r="F45" s="12">
        <v>0</v>
      </c>
      <c r="G45" s="10">
        <f>+C45+D45-E45</f>
        <v>154782.26</v>
      </c>
      <c r="H45" s="10">
        <v>237102.37</v>
      </c>
      <c r="I45" s="10">
        <v>0</v>
      </c>
      <c r="J45" s="10">
        <v>82320.11</v>
      </c>
      <c r="K45" s="10">
        <f t="shared" si="8"/>
        <v>154782.26</v>
      </c>
      <c r="L45" s="15"/>
      <c r="M45" s="16">
        <f t="shared" si="11"/>
        <v>0</v>
      </c>
    </row>
    <row r="46" spans="1:15" ht="13.5" x14ac:dyDescent="0.2">
      <c r="A46" s="9"/>
      <c r="B46" s="10">
        <v>0</v>
      </c>
      <c r="C46" s="10">
        <v>0</v>
      </c>
      <c r="D46" s="10"/>
      <c r="E46" s="10">
        <v>0</v>
      </c>
      <c r="F46" s="12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8"/>
        <v>0</v>
      </c>
      <c r="L46" s="15"/>
      <c r="M46" s="16">
        <f t="shared" si="11"/>
        <v>0</v>
      </c>
    </row>
    <row r="47" spans="1:15" ht="13.5" x14ac:dyDescent="0.2">
      <c r="A47" s="24" t="s">
        <v>35</v>
      </c>
      <c r="B47" s="25">
        <f>SUM(B40:B46)</f>
        <v>0</v>
      </c>
      <c r="C47" s="25">
        <f t="shared" ref="C47:K47" si="12">SUM(C40:C46)</f>
        <v>154782.26</v>
      </c>
      <c r="D47" s="25">
        <f t="shared" si="12"/>
        <v>0</v>
      </c>
      <c r="E47" s="25">
        <f t="shared" si="12"/>
        <v>0</v>
      </c>
      <c r="F47" s="25">
        <f t="shared" si="12"/>
        <v>0</v>
      </c>
      <c r="G47" s="25">
        <f t="shared" si="12"/>
        <v>2964229.5999999996</v>
      </c>
      <c r="H47" s="25">
        <f t="shared" si="12"/>
        <v>2892214.2</v>
      </c>
      <c r="I47" s="25">
        <f t="shared" si="12"/>
        <v>200000</v>
      </c>
      <c r="J47" s="25">
        <f t="shared" si="12"/>
        <v>127984.6</v>
      </c>
      <c r="K47" s="25">
        <f t="shared" si="12"/>
        <v>2964229.5999999996</v>
      </c>
      <c r="L47" s="27"/>
      <c r="M47" s="16">
        <f t="shared" si="11"/>
        <v>0</v>
      </c>
    </row>
    <row r="48" spans="1:15" ht="13.5" x14ac:dyDescent="0.2">
      <c r="A48" s="9" t="s">
        <v>18</v>
      </c>
      <c r="B48" s="10">
        <v>0</v>
      </c>
      <c r="C48" s="10">
        <v>0</v>
      </c>
      <c r="D48" s="10"/>
      <c r="E48" s="10">
        <v>0</v>
      </c>
      <c r="F48" s="12">
        <v>0</v>
      </c>
      <c r="G48" s="10">
        <v>57064.89</v>
      </c>
      <c r="H48" s="10">
        <v>132233.86000000002</v>
      </c>
      <c r="I48" s="10">
        <v>185.03</v>
      </c>
      <c r="J48" s="10">
        <v>75354</v>
      </c>
      <c r="K48" s="10">
        <f t="shared" si="8"/>
        <v>57064.890000000014</v>
      </c>
      <c r="L48" s="15"/>
      <c r="M48" s="16">
        <f t="shared" si="11"/>
        <v>0</v>
      </c>
    </row>
    <row r="49" spans="1:13" ht="13.5" x14ac:dyDescent="0.2">
      <c r="A49" s="9" t="s">
        <v>36</v>
      </c>
      <c r="B49" s="10">
        <v>0</v>
      </c>
      <c r="C49" s="10">
        <v>0</v>
      </c>
      <c r="D49" s="10"/>
      <c r="E49" s="10">
        <v>0</v>
      </c>
      <c r="F49" s="12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8"/>
        <v>0</v>
      </c>
      <c r="L49" s="15"/>
      <c r="M49" s="16">
        <f t="shared" si="11"/>
        <v>0</v>
      </c>
    </row>
    <row r="50" spans="1:13" ht="13.5" x14ac:dyDescent="0.2">
      <c r="A50" s="9" t="s">
        <v>20</v>
      </c>
      <c r="B50" s="10">
        <v>0</v>
      </c>
      <c r="C50" s="10">
        <v>0</v>
      </c>
      <c r="D50" s="10"/>
      <c r="E50" s="10">
        <v>0</v>
      </c>
      <c r="F50" s="12">
        <v>0</v>
      </c>
      <c r="G50" s="10">
        <v>54914.5</v>
      </c>
      <c r="H50" s="10">
        <v>51501.9</v>
      </c>
      <c r="I50" s="10">
        <v>0</v>
      </c>
      <c r="J50" s="10">
        <v>-3412.6000000000931</v>
      </c>
      <c r="K50" s="10">
        <f t="shared" si="8"/>
        <v>54914.500000000095</v>
      </c>
      <c r="L50" s="15"/>
      <c r="M50" s="16">
        <f t="shared" si="11"/>
        <v>9.4587448984384537E-11</v>
      </c>
    </row>
    <row r="51" spans="1:13" ht="13.5" x14ac:dyDescent="0.2">
      <c r="A51" s="9" t="s">
        <v>21</v>
      </c>
      <c r="B51" s="10">
        <v>0</v>
      </c>
      <c r="C51" s="10">
        <v>0</v>
      </c>
      <c r="D51" s="10"/>
      <c r="E51" s="10">
        <v>0</v>
      </c>
      <c r="F51" s="12">
        <v>0</v>
      </c>
      <c r="G51" s="10">
        <v>5979.07</v>
      </c>
      <c r="H51" s="10">
        <v>5979.07</v>
      </c>
      <c r="I51" s="10">
        <v>0</v>
      </c>
      <c r="J51" s="10">
        <v>0</v>
      </c>
      <c r="K51" s="10">
        <f t="shared" si="8"/>
        <v>5979.07</v>
      </c>
      <c r="L51" s="15"/>
      <c r="M51" s="16">
        <f t="shared" si="11"/>
        <v>0</v>
      </c>
    </row>
    <row r="52" spans="1:13" ht="13.5" x14ac:dyDescent="0.2">
      <c r="A52" s="9" t="s">
        <v>22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60932.3</v>
      </c>
      <c r="H52" s="10">
        <v>60932.3</v>
      </c>
      <c r="I52" s="10">
        <v>0</v>
      </c>
      <c r="J52" s="10">
        <v>0</v>
      </c>
      <c r="K52" s="10">
        <f t="shared" si="8"/>
        <v>60932.3</v>
      </c>
      <c r="L52" s="15"/>
      <c r="M52" s="16">
        <f t="shared" si="11"/>
        <v>0</v>
      </c>
    </row>
    <row r="53" spans="1:13" ht="13.5" x14ac:dyDescent="0.2">
      <c r="A53" s="9" t="s">
        <v>24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17486.5</v>
      </c>
      <c r="H53" s="10">
        <v>17486.5</v>
      </c>
      <c r="I53" s="10">
        <v>0</v>
      </c>
      <c r="J53" s="10">
        <v>0</v>
      </c>
      <c r="K53" s="10">
        <f t="shared" si="8"/>
        <v>17486.5</v>
      </c>
      <c r="L53" s="15"/>
      <c r="M53" s="16">
        <f t="shared" si="11"/>
        <v>0</v>
      </c>
    </row>
    <row r="54" spans="1:13" ht="13.5" x14ac:dyDescent="0.2">
      <c r="A54" s="9" t="s">
        <v>25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11051.67</v>
      </c>
      <c r="H54" s="10">
        <v>11051.67</v>
      </c>
      <c r="I54" s="10">
        <v>0</v>
      </c>
      <c r="J54" s="10">
        <v>0</v>
      </c>
      <c r="K54" s="10">
        <f t="shared" si="8"/>
        <v>11051.67</v>
      </c>
      <c r="L54" s="15"/>
      <c r="M54" s="16">
        <f t="shared" si="11"/>
        <v>0</v>
      </c>
    </row>
    <row r="55" spans="1:13" ht="13.5" x14ac:dyDescent="0.2">
      <c r="A55" s="9" t="s">
        <v>29</v>
      </c>
      <c r="B55" s="10">
        <v>0</v>
      </c>
      <c r="C55" s="10">
        <v>0</v>
      </c>
      <c r="D55" s="10">
        <v>0</v>
      </c>
      <c r="E55" s="10">
        <v>0</v>
      </c>
      <c r="F55" s="12">
        <v>0</v>
      </c>
      <c r="G55" s="10">
        <v>148467.66</v>
      </c>
      <c r="H55" s="10">
        <v>158380.9</v>
      </c>
      <c r="I55" s="10"/>
      <c r="J55" s="10">
        <f>2876.27+7036.97</f>
        <v>9913.24</v>
      </c>
      <c r="K55" s="10">
        <f t="shared" si="8"/>
        <v>148467.66</v>
      </c>
      <c r="L55" s="15"/>
      <c r="M55" s="16">
        <f t="shared" si="11"/>
        <v>0</v>
      </c>
    </row>
    <row r="56" spans="1:13" ht="13.5" x14ac:dyDescent="0.2">
      <c r="A56" s="9" t="s">
        <v>30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6199.68</v>
      </c>
      <c r="H56" s="10">
        <v>0</v>
      </c>
      <c r="I56" s="10">
        <v>6199.68</v>
      </c>
      <c r="J56" s="10">
        <v>0</v>
      </c>
      <c r="K56" s="10">
        <f t="shared" si="8"/>
        <v>6199.68</v>
      </c>
      <c r="L56" s="15"/>
      <c r="M56" s="16">
        <f t="shared" si="11"/>
        <v>0</v>
      </c>
    </row>
    <row r="57" spans="1:13" ht="13.5" x14ac:dyDescent="0.2">
      <c r="A57" s="9">
        <v>3001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510.97</v>
      </c>
      <c r="H57" s="10">
        <v>696</v>
      </c>
      <c r="I57" s="10">
        <v>0</v>
      </c>
      <c r="J57" s="10">
        <v>185.03</v>
      </c>
      <c r="K57" s="10">
        <f t="shared" si="8"/>
        <v>510.97</v>
      </c>
      <c r="L57" s="15"/>
      <c r="M57" s="16">
        <f t="shared" si="11"/>
        <v>0</v>
      </c>
    </row>
    <row r="58" spans="1:13" ht="13.5" x14ac:dyDescent="0.2">
      <c r="A58" s="9">
        <v>3002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64791.47</v>
      </c>
      <c r="H58" s="10">
        <v>64920.78</v>
      </c>
      <c r="I58" s="10">
        <v>0</v>
      </c>
      <c r="J58" s="10">
        <v>129.31</v>
      </c>
      <c r="K58" s="10">
        <f t="shared" si="8"/>
        <v>64791.47</v>
      </c>
      <c r="L58" s="15"/>
      <c r="M58" s="16">
        <f t="shared" si="11"/>
        <v>0</v>
      </c>
    </row>
    <row r="59" spans="1:13" ht="13.5" x14ac:dyDescent="0.2">
      <c r="A59" s="9"/>
      <c r="B59" s="10">
        <v>0</v>
      </c>
      <c r="C59" s="10">
        <v>0</v>
      </c>
      <c r="D59" s="10"/>
      <c r="E59" s="10">
        <v>0</v>
      </c>
      <c r="F59" s="12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8"/>
        <v>0</v>
      </c>
      <c r="L59" s="15"/>
      <c r="M59" s="16">
        <f t="shared" si="11"/>
        <v>0</v>
      </c>
    </row>
    <row r="60" spans="1:13" ht="13.5" x14ac:dyDescent="0.2">
      <c r="A60" s="24" t="s">
        <v>37</v>
      </c>
      <c r="B60" s="25">
        <f>SUM(B48:B59)</f>
        <v>0</v>
      </c>
      <c r="C60" s="25">
        <f t="shared" ref="C60:K60" si="13">SUM(C48:C59)</f>
        <v>0</v>
      </c>
      <c r="D60" s="25">
        <f t="shared" si="13"/>
        <v>0</v>
      </c>
      <c r="E60" s="25">
        <f t="shared" si="13"/>
        <v>0</v>
      </c>
      <c r="F60" s="25">
        <f t="shared" si="13"/>
        <v>0</v>
      </c>
      <c r="G60" s="25">
        <f t="shared" si="13"/>
        <v>427398.70999999996</v>
      </c>
      <c r="H60" s="25">
        <f t="shared" si="13"/>
        <v>503182.98</v>
      </c>
      <c r="I60" s="25">
        <f t="shared" si="13"/>
        <v>6384.71</v>
      </c>
      <c r="J60" s="25">
        <f t="shared" si="13"/>
        <v>82168.979999999909</v>
      </c>
      <c r="K60" s="25">
        <f t="shared" si="13"/>
        <v>427398.71000000008</v>
      </c>
      <c r="L60" s="27"/>
      <c r="M60" s="16">
        <f>+K60-G60</f>
        <v>0</v>
      </c>
    </row>
    <row r="61" spans="1:13" ht="13.5" x14ac:dyDescent="0.2">
      <c r="A61" s="9" t="s">
        <v>18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38436.01</v>
      </c>
      <c r="H61" s="10">
        <v>62509.189999999988</v>
      </c>
      <c r="I61" s="10">
        <v>236626.82</v>
      </c>
      <c r="J61" s="10">
        <v>260700</v>
      </c>
      <c r="K61" s="10">
        <f t="shared" si="8"/>
        <v>38436.010000000009</v>
      </c>
      <c r="L61" s="15"/>
      <c r="M61" s="16">
        <f t="shared" si="11"/>
        <v>0</v>
      </c>
    </row>
    <row r="62" spans="1:13" ht="13.5" x14ac:dyDescent="0.2">
      <c r="A62" s="9" t="s">
        <v>20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137672.87</v>
      </c>
      <c r="H62" s="10">
        <v>19069.32</v>
      </c>
      <c r="I62" s="10">
        <v>1797063.97</v>
      </c>
      <c r="J62" s="10">
        <v>1678460.42</v>
      </c>
      <c r="K62" s="10">
        <f t="shared" si="8"/>
        <v>137672.87000000011</v>
      </c>
      <c r="L62" s="15"/>
      <c r="M62" s="16">
        <f t="shared" si="11"/>
        <v>0</v>
      </c>
    </row>
    <row r="63" spans="1:13" ht="13.5" x14ac:dyDescent="0.2">
      <c r="A63" s="9" t="s">
        <v>24</v>
      </c>
      <c r="B63" s="10">
        <v>0</v>
      </c>
      <c r="C63" s="10">
        <v>17884.25</v>
      </c>
      <c r="D63" s="10">
        <f>7.16+6.59</f>
        <v>13.75</v>
      </c>
      <c r="E63" s="10">
        <v>696</v>
      </c>
      <c r="F63" s="12">
        <v>0</v>
      </c>
      <c r="G63" s="10">
        <f>+C63+D63-E63</f>
        <v>17202</v>
      </c>
      <c r="H63" s="10">
        <v>17202</v>
      </c>
      <c r="I63" s="10">
        <v>0</v>
      </c>
      <c r="J63" s="10">
        <v>0</v>
      </c>
      <c r="K63" s="10">
        <f t="shared" si="8"/>
        <v>17202</v>
      </c>
      <c r="L63" s="15"/>
      <c r="M63" s="46">
        <f t="shared" si="11"/>
        <v>0</v>
      </c>
    </row>
    <row r="64" spans="1:13" ht="13.5" x14ac:dyDescent="0.2">
      <c r="A64" s="9" t="s">
        <v>25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18649.8</v>
      </c>
      <c r="H64" s="10">
        <v>40388.06</v>
      </c>
      <c r="I64" s="10">
        <v>100000</v>
      </c>
      <c r="J64" s="10">
        <v>121738.26</v>
      </c>
      <c r="K64" s="10">
        <f t="shared" si="8"/>
        <v>18649.800000000003</v>
      </c>
      <c r="L64" s="15"/>
      <c r="M64" s="16">
        <f t="shared" si="11"/>
        <v>0</v>
      </c>
    </row>
    <row r="65" spans="1:13" ht="13.5" x14ac:dyDescent="0.2">
      <c r="A65" s="9" t="s">
        <v>29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337850.79</v>
      </c>
      <c r="H65" s="10">
        <v>419631.03</v>
      </c>
      <c r="I65" s="10">
        <v>-7.49</v>
      </c>
      <c r="J65" s="10">
        <v>81772.75</v>
      </c>
      <c r="K65" s="10">
        <f t="shared" si="8"/>
        <v>337850.79000000004</v>
      </c>
      <c r="L65" s="15"/>
      <c r="M65" s="16">
        <f t="shared" si="11"/>
        <v>0</v>
      </c>
    </row>
    <row r="66" spans="1:13" ht="13.5" x14ac:dyDescent="0.2">
      <c r="A66" s="9" t="s">
        <v>30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0</v>
      </c>
      <c r="H66" s="10">
        <v>538779.80000000005</v>
      </c>
      <c r="I66" s="10">
        <v>0</v>
      </c>
      <c r="J66" s="10">
        <v>538779.80000000005</v>
      </c>
      <c r="K66" s="10">
        <f t="shared" si="8"/>
        <v>0</v>
      </c>
      <c r="L66" s="15"/>
      <c r="M66" s="16">
        <f t="shared" si="11"/>
        <v>0</v>
      </c>
    </row>
    <row r="67" spans="1:13" ht="13.5" x14ac:dyDescent="0.2">
      <c r="A67" s="9">
        <v>3001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314.99</v>
      </c>
      <c r="H67" s="10">
        <v>315</v>
      </c>
      <c r="I67" s="10">
        <v>0</v>
      </c>
      <c r="J67" s="10">
        <v>0.01</v>
      </c>
      <c r="K67" s="10">
        <f t="shared" si="8"/>
        <v>314.99</v>
      </c>
      <c r="L67" s="15"/>
      <c r="M67" s="16">
        <f t="shared" si="11"/>
        <v>0</v>
      </c>
    </row>
    <row r="68" spans="1:13" ht="13.5" x14ac:dyDescent="0.2">
      <c r="A68" s="9">
        <v>3002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12858.9</v>
      </c>
      <c r="H68" s="10">
        <v>12858.91</v>
      </c>
      <c r="I68" s="10">
        <v>0</v>
      </c>
      <c r="J68" s="10">
        <v>0.01</v>
      </c>
      <c r="K68" s="10">
        <f t="shared" si="8"/>
        <v>12858.9</v>
      </c>
      <c r="L68" s="15"/>
      <c r="M68" s="16">
        <f t="shared" si="11"/>
        <v>0</v>
      </c>
    </row>
    <row r="69" spans="1:13" ht="13.5" x14ac:dyDescent="0.2">
      <c r="A69" s="9"/>
      <c r="B69" s="10">
        <v>0</v>
      </c>
      <c r="C69" s="10">
        <v>0</v>
      </c>
      <c r="D69" s="10"/>
      <c r="E69" s="10">
        <v>0</v>
      </c>
      <c r="F69" s="12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8"/>
        <v>0</v>
      </c>
      <c r="L69" s="15"/>
      <c r="M69" s="16">
        <f t="shared" si="11"/>
        <v>0</v>
      </c>
    </row>
    <row r="70" spans="1:13" ht="13.5" x14ac:dyDescent="0.2">
      <c r="A70" s="24" t="s">
        <v>38</v>
      </c>
      <c r="B70" s="25">
        <f>SUM(B61:B69)</f>
        <v>0</v>
      </c>
      <c r="C70" s="25">
        <f t="shared" ref="C70:K70" si="14">SUM(C61:C69)</f>
        <v>17884.25</v>
      </c>
      <c r="D70" s="25">
        <f t="shared" si="14"/>
        <v>13.75</v>
      </c>
      <c r="E70" s="25">
        <f t="shared" si="14"/>
        <v>696</v>
      </c>
      <c r="F70" s="25">
        <f t="shared" si="14"/>
        <v>0</v>
      </c>
      <c r="G70" s="25">
        <f t="shared" si="14"/>
        <v>562985.36</v>
      </c>
      <c r="H70" s="25">
        <f t="shared" si="14"/>
        <v>1110753.3099999998</v>
      </c>
      <c r="I70" s="25">
        <f t="shared" si="14"/>
        <v>2133683.2999999998</v>
      </c>
      <c r="J70" s="25">
        <f t="shared" si="14"/>
        <v>2681451.2499999991</v>
      </c>
      <c r="K70" s="25">
        <f t="shared" si="14"/>
        <v>562985.36000000022</v>
      </c>
      <c r="L70" s="27"/>
      <c r="M70" s="16">
        <f t="shared" si="11"/>
        <v>0</v>
      </c>
    </row>
    <row r="71" spans="1:13" ht="13.5" x14ac:dyDescent="0.2">
      <c r="A71" s="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70435.27</v>
      </c>
      <c r="H71" s="10">
        <v>27196.65</v>
      </c>
      <c r="I71" s="10">
        <v>1260055.98</v>
      </c>
      <c r="J71" s="10">
        <v>1216817.3599999999</v>
      </c>
      <c r="K71" s="10">
        <f t="shared" si="8"/>
        <v>70435.270000000019</v>
      </c>
      <c r="L71" s="15"/>
      <c r="M71" s="16">
        <f t="shared" si="11"/>
        <v>0</v>
      </c>
    </row>
    <row r="72" spans="1:13" ht="13.5" x14ac:dyDescent="0.2">
      <c r="A72" s="9" t="s">
        <v>36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-10</v>
      </c>
      <c r="H72" s="10">
        <v>-10</v>
      </c>
      <c r="I72" s="10">
        <v>0</v>
      </c>
      <c r="J72" s="10">
        <v>0</v>
      </c>
      <c r="K72" s="10">
        <f t="shared" si="8"/>
        <v>-10</v>
      </c>
      <c r="L72" s="15"/>
      <c r="M72" s="16">
        <f t="shared" si="11"/>
        <v>0</v>
      </c>
    </row>
    <row r="73" spans="1:13" ht="13.5" x14ac:dyDescent="0.2">
      <c r="A73" s="9" t="s">
        <v>20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10409.09</v>
      </c>
      <c r="H73" s="10">
        <v>8124.4500000000007</v>
      </c>
      <c r="I73" s="10">
        <v>1364164.99</v>
      </c>
      <c r="J73" s="10">
        <v>1361880.35</v>
      </c>
      <c r="K73" s="10">
        <f t="shared" si="8"/>
        <v>10409.089999999851</v>
      </c>
      <c r="L73" s="15"/>
      <c r="M73" s="16">
        <f t="shared" si="11"/>
        <v>-1.4915713109076023E-10</v>
      </c>
    </row>
    <row r="74" spans="1:13" ht="13.5" x14ac:dyDescent="0.2">
      <c r="A74" s="9" t="s">
        <v>24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1150.8900000000001</v>
      </c>
      <c r="H74" s="10">
        <v>42631.81</v>
      </c>
      <c r="I74" s="10">
        <v>412765.08</v>
      </c>
      <c r="J74" s="10">
        <v>454246</v>
      </c>
      <c r="K74" s="10">
        <f t="shared" si="8"/>
        <v>1150.890000000014</v>
      </c>
      <c r="L74" s="15"/>
      <c r="M74" s="16">
        <f t="shared" si="11"/>
        <v>1.3869794202037156E-11</v>
      </c>
    </row>
    <row r="75" spans="1:13" ht="13.5" x14ac:dyDescent="0.2">
      <c r="A75" s="9" t="s">
        <v>25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-1415.64</v>
      </c>
      <c r="H75" s="10">
        <v>719.87</v>
      </c>
      <c r="I75" s="10">
        <v>17662.490000000002</v>
      </c>
      <c r="J75" s="10">
        <v>19798</v>
      </c>
      <c r="K75" s="10">
        <f t="shared" si="8"/>
        <v>-1415.6399999999994</v>
      </c>
      <c r="L75" s="15"/>
      <c r="M75" s="16">
        <f t="shared" si="11"/>
        <v>0</v>
      </c>
    </row>
    <row r="76" spans="1:13" ht="13.5" x14ac:dyDescent="0.2">
      <c r="A76" s="9" t="s">
        <v>27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267528.84000000003</v>
      </c>
      <c r="H76" s="10">
        <v>0</v>
      </c>
      <c r="I76" s="10">
        <v>267528.84000000003</v>
      </c>
      <c r="J76" s="10">
        <v>0</v>
      </c>
      <c r="K76" s="10">
        <f t="shared" si="8"/>
        <v>267528.84000000003</v>
      </c>
      <c r="L76" s="15"/>
      <c r="M76" s="16">
        <f t="shared" si="11"/>
        <v>0</v>
      </c>
    </row>
    <row r="77" spans="1:13" ht="13.5" x14ac:dyDescent="0.2">
      <c r="A77" s="9" t="s">
        <v>29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238880.59</v>
      </c>
      <c r="H77" s="10">
        <v>286118.3</v>
      </c>
      <c r="I77" s="10">
        <v>98358.74</v>
      </c>
      <c r="J77" s="10">
        <v>145596.44999999998</v>
      </c>
      <c r="K77" s="10">
        <f t="shared" si="8"/>
        <v>238880.59</v>
      </c>
      <c r="L77" s="15"/>
      <c r="M77" s="16">
        <f t="shared" si="11"/>
        <v>0</v>
      </c>
    </row>
    <row r="78" spans="1:13" ht="13.5" x14ac:dyDescent="0.2">
      <c r="A78" s="9" t="s">
        <v>30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8"/>
        <v>0</v>
      </c>
      <c r="L78" s="15"/>
      <c r="M78" s="16">
        <f t="shared" si="11"/>
        <v>0</v>
      </c>
    </row>
    <row r="79" spans="1:13" ht="13.5" x14ac:dyDescent="0.2">
      <c r="A79" s="9"/>
      <c r="B79" s="10">
        <v>0</v>
      </c>
      <c r="C79" s="10">
        <v>0</v>
      </c>
      <c r="D79" s="10"/>
      <c r="E79" s="10">
        <v>0</v>
      </c>
      <c r="F79" s="12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8"/>
        <v>0</v>
      </c>
      <c r="L79" s="15"/>
      <c r="M79" s="16">
        <f t="shared" si="11"/>
        <v>0</v>
      </c>
    </row>
    <row r="80" spans="1:13" ht="13.5" x14ac:dyDescent="0.2">
      <c r="A80" s="24" t="s">
        <v>39</v>
      </c>
      <c r="B80" s="25">
        <f>SUM(B71:B79)</f>
        <v>0</v>
      </c>
      <c r="C80" s="25">
        <f t="shared" ref="C80:K80" si="15">SUM(C71:C79)</f>
        <v>0</v>
      </c>
      <c r="D80" s="25">
        <f t="shared" si="15"/>
        <v>0</v>
      </c>
      <c r="E80" s="25">
        <f t="shared" si="15"/>
        <v>0</v>
      </c>
      <c r="F80" s="25">
        <f t="shared" si="15"/>
        <v>0</v>
      </c>
      <c r="G80" s="25">
        <f t="shared" si="15"/>
        <v>586979.04</v>
      </c>
      <c r="H80" s="25">
        <f t="shared" si="15"/>
        <v>364781.07999999996</v>
      </c>
      <c r="I80" s="25">
        <f t="shared" si="15"/>
        <v>3420536.12</v>
      </c>
      <c r="J80" s="25">
        <f t="shared" si="15"/>
        <v>3198338.16</v>
      </c>
      <c r="K80" s="25">
        <f t="shared" si="15"/>
        <v>586979.03999999992</v>
      </c>
      <c r="L80" s="27"/>
      <c r="M80" s="16">
        <f t="shared" si="11"/>
        <v>0</v>
      </c>
    </row>
    <row r="81" spans="1:13" ht="13.5" x14ac:dyDescent="0.2">
      <c r="A81" s="9" t="s">
        <v>18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1852.17</v>
      </c>
      <c r="H81" s="10">
        <v>21852.97</v>
      </c>
      <c r="I81" s="10">
        <v>0</v>
      </c>
      <c r="J81" s="10">
        <v>20000.8</v>
      </c>
      <c r="K81" s="10">
        <f t="shared" si="8"/>
        <v>1852.1700000000019</v>
      </c>
      <c r="L81" s="15"/>
      <c r="M81" s="16">
        <f t="shared" si="11"/>
        <v>1.8189894035458565E-12</v>
      </c>
    </row>
    <row r="82" spans="1:13" ht="13.5" x14ac:dyDescent="0.2">
      <c r="A82" s="9" t="s">
        <v>24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43212.38</v>
      </c>
      <c r="H82" s="10">
        <v>43212.38</v>
      </c>
      <c r="I82" s="10">
        <v>0</v>
      </c>
      <c r="J82" s="10">
        <v>0</v>
      </c>
      <c r="K82" s="10">
        <f t="shared" si="8"/>
        <v>43212.38</v>
      </c>
      <c r="L82" s="15"/>
      <c r="M82" s="16">
        <f t="shared" si="11"/>
        <v>0</v>
      </c>
    </row>
    <row r="83" spans="1:13" ht="13.5" x14ac:dyDescent="0.2">
      <c r="A83" s="9" t="s">
        <v>25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1625.34</v>
      </c>
      <c r="H83" s="10">
        <v>8443.23</v>
      </c>
      <c r="I83" s="10">
        <v>10845.58</v>
      </c>
      <c r="J83" s="10">
        <v>17663.47</v>
      </c>
      <c r="K83" s="10">
        <f t="shared" si="8"/>
        <v>1625.3399999999965</v>
      </c>
      <c r="L83" s="15"/>
      <c r="M83" s="16">
        <f t="shared" si="11"/>
        <v>-3.4106051316484809E-12</v>
      </c>
    </row>
    <row r="84" spans="1:13" ht="13.5" x14ac:dyDescent="0.2">
      <c r="A84" s="9" t="s">
        <v>26</v>
      </c>
      <c r="B84" s="10">
        <v>0</v>
      </c>
      <c r="C84" s="10">
        <v>0</v>
      </c>
      <c r="D84" s="10"/>
      <c r="E84" s="10">
        <v>0</v>
      </c>
      <c r="F84" s="12">
        <v>0</v>
      </c>
      <c r="G84" s="10">
        <v>20682.669999999998</v>
      </c>
      <c r="H84" s="10">
        <v>0</v>
      </c>
      <c r="I84" s="10">
        <v>20682.669999999998</v>
      </c>
      <c r="J84" s="10">
        <v>0</v>
      </c>
      <c r="K84" s="10">
        <f t="shared" si="8"/>
        <v>20682.669999999998</v>
      </c>
      <c r="L84" s="15"/>
      <c r="M84" s="16">
        <f t="shared" si="11"/>
        <v>0</v>
      </c>
    </row>
    <row r="85" spans="1:13" ht="13.5" x14ac:dyDescent="0.2">
      <c r="A85" s="9" t="s">
        <v>29</v>
      </c>
      <c r="B85" s="10">
        <v>0</v>
      </c>
      <c r="C85" s="10">
        <v>0</v>
      </c>
      <c r="D85" s="10"/>
      <c r="E85" s="10">
        <v>0</v>
      </c>
      <c r="F85" s="12">
        <v>0</v>
      </c>
      <c r="G85" s="10">
        <v>74081.95</v>
      </c>
      <c r="H85" s="10">
        <v>79147.360000000001</v>
      </c>
      <c r="I85" s="10">
        <v>0</v>
      </c>
      <c r="J85" s="10">
        <v>5065.41</v>
      </c>
      <c r="K85" s="10">
        <f t="shared" si="8"/>
        <v>74081.95</v>
      </c>
      <c r="L85" s="15"/>
      <c r="M85" s="16">
        <f t="shared" si="11"/>
        <v>0</v>
      </c>
    </row>
    <row r="86" spans="1:13" ht="13.5" x14ac:dyDescent="0.2">
      <c r="A86" s="9" t="s">
        <v>30</v>
      </c>
      <c r="B86" s="10">
        <v>0</v>
      </c>
      <c r="C86" s="10">
        <v>0</v>
      </c>
      <c r="D86" s="10"/>
      <c r="E86" s="10">
        <v>0</v>
      </c>
      <c r="F86" s="12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8"/>
        <v>0</v>
      </c>
      <c r="L86" s="15"/>
      <c r="M86" s="16">
        <f t="shared" si="11"/>
        <v>0</v>
      </c>
    </row>
    <row r="87" spans="1:13" ht="13.5" x14ac:dyDescent="0.2">
      <c r="A87" s="9"/>
      <c r="B87" s="10">
        <v>0</v>
      </c>
      <c r="C87" s="10">
        <v>0</v>
      </c>
      <c r="D87" s="10"/>
      <c r="E87" s="10">
        <v>0</v>
      </c>
      <c r="F87" s="12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ref="K87:K95" si="16">H87+I87-J87</f>
        <v>0</v>
      </c>
      <c r="L87" s="15"/>
      <c r="M87" s="16">
        <f t="shared" si="11"/>
        <v>0</v>
      </c>
    </row>
    <row r="88" spans="1:13" ht="13.5" x14ac:dyDescent="0.2">
      <c r="A88" s="24" t="s">
        <v>40</v>
      </c>
      <c r="B88" s="25">
        <f>SUM(B81:B87)</f>
        <v>0</v>
      </c>
      <c r="C88" s="25">
        <f t="shared" ref="C88:K88" si="17">SUM(C81:C87)</f>
        <v>0</v>
      </c>
      <c r="D88" s="25">
        <f t="shared" si="17"/>
        <v>0</v>
      </c>
      <c r="E88" s="25">
        <f t="shared" si="17"/>
        <v>0</v>
      </c>
      <c r="F88" s="25">
        <f t="shared" si="17"/>
        <v>0</v>
      </c>
      <c r="G88" s="25">
        <f t="shared" si="17"/>
        <v>141454.51</v>
      </c>
      <c r="H88" s="25">
        <f t="shared" si="17"/>
        <v>152655.94</v>
      </c>
      <c r="I88" s="25">
        <f t="shared" si="17"/>
        <v>31528.25</v>
      </c>
      <c r="J88" s="25">
        <f t="shared" si="17"/>
        <v>42729.680000000008</v>
      </c>
      <c r="K88" s="25">
        <f t="shared" si="17"/>
        <v>141454.51</v>
      </c>
      <c r="L88" s="27"/>
      <c r="M88" s="16">
        <f t="shared" si="11"/>
        <v>0</v>
      </c>
    </row>
    <row r="89" spans="1:13" ht="13.5" x14ac:dyDescent="0.2">
      <c r="A89" s="9" t="s">
        <v>36</v>
      </c>
      <c r="B89" s="10">
        <v>0</v>
      </c>
      <c r="C89" s="10">
        <v>0</v>
      </c>
      <c r="D89" s="10"/>
      <c r="E89" s="10">
        <v>0</v>
      </c>
      <c r="F89" s="12">
        <v>0</v>
      </c>
      <c r="G89" s="10">
        <v>12193</v>
      </c>
      <c r="H89" s="10">
        <v>13553.029999999999</v>
      </c>
      <c r="I89" s="10">
        <v>0</v>
      </c>
      <c r="J89" s="10">
        <v>1360.03</v>
      </c>
      <c r="K89" s="10">
        <f t="shared" si="16"/>
        <v>12192.999999999998</v>
      </c>
      <c r="L89" s="15"/>
      <c r="M89" s="16">
        <f t="shared" si="11"/>
        <v>0</v>
      </c>
    </row>
    <row r="90" spans="1:13" ht="13.5" x14ac:dyDescent="0.2">
      <c r="A90" s="9" t="s">
        <v>29</v>
      </c>
      <c r="B90" s="10">
        <v>0</v>
      </c>
      <c r="C90" s="10">
        <v>0</v>
      </c>
      <c r="D90" s="10"/>
      <c r="E90" s="10">
        <v>0</v>
      </c>
      <c r="F90" s="12">
        <v>0</v>
      </c>
      <c r="G90" s="10">
        <v>7163.64</v>
      </c>
      <c r="H90" s="10">
        <v>6216.71</v>
      </c>
      <c r="I90" s="10">
        <v>4500</v>
      </c>
      <c r="J90" s="10">
        <v>3553.0699999999997</v>
      </c>
      <c r="K90" s="10">
        <f t="shared" si="16"/>
        <v>7163.6399999999994</v>
      </c>
      <c r="L90" s="15"/>
      <c r="M90" s="16">
        <f t="shared" si="11"/>
        <v>0</v>
      </c>
    </row>
    <row r="91" spans="1:13" ht="13.5" x14ac:dyDescent="0.2">
      <c r="A91" s="9"/>
      <c r="B91" s="10">
        <v>0</v>
      </c>
      <c r="C91" s="10">
        <v>0</v>
      </c>
      <c r="D91" s="10"/>
      <c r="E91" s="10">
        <v>0</v>
      </c>
      <c r="F91" s="12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6"/>
        <v>0</v>
      </c>
      <c r="L91" s="15"/>
      <c r="M91" s="16">
        <f t="shared" si="11"/>
        <v>0</v>
      </c>
    </row>
    <row r="92" spans="1:13" ht="13.5" x14ac:dyDescent="0.2">
      <c r="A92" s="24" t="s">
        <v>41</v>
      </c>
      <c r="B92" s="25">
        <f>+B89+B90+B91</f>
        <v>0</v>
      </c>
      <c r="C92" s="25">
        <f t="shared" ref="C92:K92" si="18">+C89+C90+C91</f>
        <v>0</v>
      </c>
      <c r="D92" s="25">
        <f t="shared" si="18"/>
        <v>0</v>
      </c>
      <c r="E92" s="25">
        <f t="shared" si="18"/>
        <v>0</v>
      </c>
      <c r="F92" s="25">
        <f t="shared" si="18"/>
        <v>0</v>
      </c>
      <c r="G92" s="25">
        <f t="shared" si="18"/>
        <v>19356.64</v>
      </c>
      <c r="H92" s="25">
        <f t="shared" si="18"/>
        <v>19769.739999999998</v>
      </c>
      <c r="I92" s="25">
        <f t="shared" si="18"/>
        <v>4500</v>
      </c>
      <c r="J92" s="25">
        <f t="shared" si="18"/>
        <v>4913.0999999999995</v>
      </c>
      <c r="K92" s="25">
        <f t="shared" si="18"/>
        <v>19356.64</v>
      </c>
      <c r="L92" s="27"/>
      <c r="M92" s="16">
        <f t="shared" si="11"/>
        <v>0</v>
      </c>
    </row>
    <row r="93" spans="1:13" ht="13.5" x14ac:dyDescent="0.2">
      <c r="A93" s="9" t="s">
        <v>36</v>
      </c>
      <c r="B93" s="10">
        <v>0</v>
      </c>
      <c r="C93" s="10">
        <v>0</v>
      </c>
      <c r="D93" s="10"/>
      <c r="E93" s="10">
        <v>0</v>
      </c>
      <c r="F93" s="12">
        <v>0</v>
      </c>
      <c r="G93" s="10">
        <v>4081.54</v>
      </c>
      <c r="H93" s="10">
        <v>4081.54</v>
      </c>
      <c r="I93" s="10">
        <v>0</v>
      </c>
      <c r="J93" s="10">
        <v>0</v>
      </c>
      <c r="K93" s="10">
        <f t="shared" si="16"/>
        <v>4081.54</v>
      </c>
      <c r="L93" s="15"/>
      <c r="M93" s="16">
        <f t="shared" si="11"/>
        <v>0</v>
      </c>
    </row>
    <row r="94" spans="1:13" ht="13.5" x14ac:dyDescent="0.2">
      <c r="A94" s="9" t="s">
        <v>29</v>
      </c>
      <c r="B94" s="10">
        <v>0</v>
      </c>
      <c r="C94" s="10">
        <v>0</v>
      </c>
      <c r="D94" s="10"/>
      <c r="E94" s="10">
        <v>0</v>
      </c>
      <c r="F94" s="12">
        <v>0</v>
      </c>
      <c r="G94" s="10">
        <v>28063.68</v>
      </c>
      <c r="H94" s="10">
        <v>2763.68</v>
      </c>
      <c r="I94" s="10">
        <v>25300</v>
      </c>
      <c r="J94" s="10">
        <v>0</v>
      </c>
      <c r="K94" s="10">
        <f t="shared" si="16"/>
        <v>28063.68</v>
      </c>
      <c r="L94" s="15"/>
      <c r="M94" s="16">
        <f t="shared" si="11"/>
        <v>0</v>
      </c>
    </row>
    <row r="95" spans="1:13" ht="13.5" x14ac:dyDescent="0.2">
      <c r="A95" s="9"/>
      <c r="B95" s="10">
        <v>0</v>
      </c>
      <c r="C95" s="10">
        <v>0</v>
      </c>
      <c r="D95" s="10"/>
      <c r="E95" s="10">
        <v>0</v>
      </c>
      <c r="F95" s="12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6"/>
        <v>0</v>
      </c>
      <c r="L95" s="15"/>
      <c r="M95" s="16">
        <f t="shared" si="11"/>
        <v>0</v>
      </c>
    </row>
    <row r="96" spans="1:13" ht="13.5" x14ac:dyDescent="0.2">
      <c r="A96" s="24" t="s">
        <v>42</v>
      </c>
      <c r="B96" s="25">
        <f>+B93+B94+B95</f>
        <v>0</v>
      </c>
      <c r="C96" s="25">
        <f t="shared" ref="C96:K96" si="19">+C93+C94+C95</f>
        <v>0</v>
      </c>
      <c r="D96" s="25">
        <f t="shared" si="19"/>
        <v>0</v>
      </c>
      <c r="E96" s="25">
        <f t="shared" si="19"/>
        <v>0</v>
      </c>
      <c r="F96" s="25">
        <f t="shared" si="19"/>
        <v>0</v>
      </c>
      <c r="G96" s="25">
        <f t="shared" si="19"/>
        <v>32145.22</v>
      </c>
      <c r="H96" s="25">
        <f t="shared" si="19"/>
        <v>6845.2199999999993</v>
      </c>
      <c r="I96" s="25">
        <f t="shared" si="19"/>
        <v>25300</v>
      </c>
      <c r="J96" s="25">
        <f t="shared" si="19"/>
        <v>0</v>
      </c>
      <c r="K96" s="25">
        <f t="shared" si="19"/>
        <v>32145.22</v>
      </c>
      <c r="L96" s="27"/>
      <c r="M96" s="16">
        <f t="shared" si="11"/>
        <v>0</v>
      </c>
    </row>
    <row r="97" spans="1:13" ht="13.5" x14ac:dyDescent="0.2">
      <c r="A97" s="9"/>
      <c r="B97" s="10">
        <v>0</v>
      </c>
      <c r="C97" s="10">
        <v>0</v>
      </c>
      <c r="D97" s="10"/>
      <c r="E97" s="10">
        <v>0</v>
      </c>
      <c r="F97" s="12">
        <v>0</v>
      </c>
      <c r="G97" s="10">
        <v>0</v>
      </c>
      <c r="H97" s="10">
        <v>0</v>
      </c>
      <c r="I97" s="10">
        <v>0</v>
      </c>
      <c r="J97" s="10">
        <v>0</v>
      </c>
      <c r="K97" s="10">
        <f>H97+I97-J97</f>
        <v>0</v>
      </c>
      <c r="L97" s="15"/>
      <c r="M97" s="16">
        <f t="shared" si="11"/>
        <v>0</v>
      </c>
    </row>
    <row r="98" spans="1:13" ht="27" x14ac:dyDescent="0.2">
      <c r="A98" s="24" t="s">
        <v>43</v>
      </c>
      <c r="B98" s="25">
        <f t="shared" ref="B98:K98" si="20">+B96+B92+B88+B80+B70+B60+B47+B39</f>
        <v>43564662.510000005</v>
      </c>
      <c r="C98" s="25">
        <f t="shared" si="20"/>
        <v>49724880.479999997</v>
      </c>
      <c r="D98" s="25">
        <f t="shared" si="20"/>
        <v>703.14999999999986</v>
      </c>
      <c r="E98" s="25">
        <f t="shared" si="20"/>
        <v>41472316.129999995</v>
      </c>
      <c r="F98" s="25">
        <f t="shared" si="20"/>
        <v>0.83692769318254534</v>
      </c>
      <c r="G98" s="25">
        <f t="shared" si="20"/>
        <v>12815832.319999998</v>
      </c>
      <c r="H98" s="25">
        <f t="shared" si="20"/>
        <v>14689957.370000001</v>
      </c>
      <c r="I98" s="25">
        <f t="shared" si="20"/>
        <v>6017325.0599999996</v>
      </c>
      <c r="J98" s="25">
        <f t="shared" si="20"/>
        <v>8014160.1799999988</v>
      </c>
      <c r="K98" s="25">
        <f t="shared" si="20"/>
        <v>12693122.25</v>
      </c>
      <c r="L98" s="27"/>
      <c r="M98" s="16">
        <f t="shared" si="11"/>
        <v>-122710.06999999844</v>
      </c>
    </row>
    <row r="99" spans="1:13" ht="13.5" x14ac:dyDescent="0.2">
      <c r="A99" s="9"/>
      <c r="B99" s="10">
        <v>0</v>
      </c>
      <c r="C99" s="10">
        <v>0</v>
      </c>
      <c r="D99" s="10"/>
      <c r="E99" s="10">
        <v>0</v>
      </c>
      <c r="F99" s="12">
        <v>0</v>
      </c>
      <c r="G99" s="10">
        <v>0</v>
      </c>
      <c r="H99" s="10">
        <v>0</v>
      </c>
      <c r="I99" s="10">
        <v>0</v>
      </c>
      <c r="J99" s="10">
        <v>0</v>
      </c>
      <c r="K99" s="10">
        <f>H99+I99-J99</f>
        <v>0</v>
      </c>
      <c r="L99" s="15"/>
      <c r="M99" s="16">
        <f>+K99-G99</f>
        <v>0</v>
      </c>
    </row>
    <row r="100" spans="1:13" ht="13.5" x14ac:dyDescent="0.2">
      <c r="A100" s="24" t="s">
        <v>44</v>
      </c>
      <c r="B100" s="25">
        <f>+B98+B21</f>
        <v>98326141.590000004</v>
      </c>
      <c r="C100" s="25">
        <f t="shared" ref="C100:K100" si="21">+C98+C21</f>
        <v>74466706.629999995</v>
      </c>
      <c r="D100" s="25">
        <f t="shared" si="21"/>
        <v>703.14999999999986</v>
      </c>
      <c r="E100" s="25">
        <f t="shared" si="21"/>
        <v>52055952.039999992</v>
      </c>
      <c r="F100" s="25">
        <f t="shared" si="21"/>
        <v>3.2876977080067826</v>
      </c>
      <c r="G100" s="25">
        <f t="shared" si="21"/>
        <v>26974022.559999995</v>
      </c>
      <c r="H100" s="25">
        <f t="shared" si="21"/>
        <v>29012243.82</v>
      </c>
      <c r="I100" s="25">
        <f t="shared" si="21"/>
        <v>6355434.0299999993</v>
      </c>
      <c r="J100" s="25">
        <f t="shared" si="21"/>
        <v>8516368.5199999996</v>
      </c>
      <c r="K100" s="25">
        <f t="shared" si="21"/>
        <v>26851309.329999998</v>
      </c>
      <c r="L100" s="27"/>
    </row>
    <row r="101" spans="1:13" ht="13.5" x14ac:dyDescent="0.25">
      <c r="A101" s="28"/>
      <c r="B101" s="29"/>
      <c r="C101" s="29"/>
      <c r="D101" s="29"/>
      <c r="E101" s="28"/>
      <c r="F101" s="28"/>
      <c r="G101" s="28"/>
      <c r="H101" s="28"/>
      <c r="I101" s="28"/>
      <c r="J101" s="28"/>
      <c r="K101" s="28"/>
      <c r="L101" s="30"/>
    </row>
    <row r="102" spans="1:13" x14ac:dyDescent="0.2">
      <c r="A102" s="19"/>
      <c r="B102" s="19"/>
      <c r="C102" s="333" t="s">
        <v>45</v>
      </c>
      <c r="D102" s="333"/>
      <c r="E102" s="333"/>
      <c r="F102" s="333"/>
      <c r="G102" s="333"/>
      <c r="H102" s="333"/>
      <c r="I102" s="333"/>
      <c r="J102" s="19"/>
      <c r="K102" s="19"/>
      <c r="L102" s="19"/>
    </row>
    <row r="103" spans="1:13" x14ac:dyDescent="0.2">
      <c r="A103" s="19"/>
      <c r="B103" s="19"/>
      <c r="C103" s="90"/>
      <c r="D103" s="90"/>
      <c r="E103" s="90"/>
      <c r="F103" s="90"/>
      <c r="G103" s="90"/>
      <c r="H103" s="90"/>
      <c r="I103" s="90"/>
      <c r="J103" s="19"/>
      <c r="K103" s="19"/>
      <c r="L103" s="19"/>
    </row>
    <row r="104" spans="1:13" ht="13.5" x14ac:dyDescent="0.25">
      <c r="A104" s="19"/>
      <c r="B104" s="325" t="s">
        <v>46</v>
      </c>
      <c r="C104" s="325"/>
      <c r="D104" s="326" t="s">
        <v>47</v>
      </c>
      <c r="E104" s="327"/>
      <c r="F104" s="328"/>
      <c r="G104" s="320" t="s">
        <v>48</v>
      </c>
      <c r="H104" s="320"/>
      <c r="I104" s="88" t="s">
        <v>10</v>
      </c>
      <c r="J104" s="19"/>
      <c r="K104" s="19"/>
      <c r="L104" s="19"/>
    </row>
    <row r="105" spans="1:13" ht="13.5" x14ac:dyDescent="0.25">
      <c r="A105" s="19"/>
      <c r="B105" s="329" t="s">
        <v>49</v>
      </c>
      <c r="C105" s="329"/>
      <c r="D105" s="330">
        <v>8135543</v>
      </c>
      <c r="E105" s="331"/>
      <c r="F105" s="332">
        <v>0</v>
      </c>
      <c r="G105" s="330">
        <v>2004169</v>
      </c>
      <c r="H105" s="332"/>
      <c r="I105" s="33">
        <f>G105/D105</f>
        <v>0.2463472935979811</v>
      </c>
      <c r="J105" s="19"/>
      <c r="K105" s="19"/>
      <c r="L105" s="19"/>
    </row>
    <row r="106" spans="1:13" ht="13.5" x14ac:dyDescent="0.25">
      <c r="A106" s="19"/>
      <c r="B106" s="320"/>
      <c r="C106" s="320"/>
      <c r="D106" s="321"/>
      <c r="E106" s="322"/>
      <c r="F106" s="323"/>
      <c r="G106" s="324"/>
      <c r="H106" s="324"/>
      <c r="I106" s="89"/>
      <c r="J106" s="19"/>
      <c r="K106" s="19"/>
      <c r="L106" s="19"/>
    </row>
    <row r="107" spans="1:13" ht="13.5" x14ac:dyDescent="0.25">
      <c r="A107" s="19"/>
      <c r="B107" s="320"/>
      <c r="C107" s="320"/>
      <c r="D107" s="321"/>
      <c r="E107" s="322"/>
      <c r="F107" s="323"/>
      <c r="G107" s="324"/>
      <c r="H107" s="324"/>
      <c r="I107" s="89"/>
      <c r="J107" s="19"/>
      <c r="K107" s="19"/>
      <c r="L107" s="19"/>
    </row>
    <row r="108" spans="1:13" ht="13.5" x14ac:dyDescent="0.25">
      <c r="A108" s="19"/>
      <c r="B108" s="320"/>
      <c r="C108" s="320"/>
      <c r="D108" s="321"/>
      <c r="E108" s="322"/>
      <c r="F108" s="323"/>
      <c r="G108" s="324"/>
      <c r="H108" s="324"/>
      <c r="I108" s="89"/>
      <c r="J108" s="19"/>
      <c r="K108" s="19"/>
      <c r="L108" s="19"/>
    </row>
    <row r="109" spans="1:13" ht="13.5" x14ac:dyDescent="0.25">
      <c r="A109" s="35" t="s">
        <v>50</v>
      </c>
      <c r="B109" s="36"/>
      <c r="C109" s="36"/>
      <c r="D109" s="36"/>
      <c r="E109" s="36"/>
      <c r="F109" s="36"/>
      <c r="G109" s="37"/>
      <c r="H109" s="37"/>
      <c r="I109" s="38"/>
      <c r="J109" s="19"/>
      <c r="K109" s="19"/>
      <c r="L109" s="19"/>
    </row>
  </sheetData>
  <mergeCells count="31">
    <mergeCell ref="C102:I102"/>
    <mergeCell ref="A1:L1"/>
    <mergeCell ref="A3:L3"/>
    <mergeCell ref="C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104:C104"/>
    <mergeCell ref="D104:F104"/>
    <mergeCell ref="G104:H104"/>
    <mergeCell ref="B105:C105"/>
    <mergeCell ref="D105:F105"/>
    <mergeCell ref="G105:H105"/>
    <mergeCell ref="B108:C108"/>
    <mergeCell ref="D108:F108"/>
    <mergeCell ref="G108:H108"/>
    <mergeCell ref="B106:C106"/>
    <mergeCell ref="D106:F106"/>
    <mergeCell ref="G106:H106"/>
    <mergeCell ref="B107:C107"/>
    <mergeCell ref="D107:F107"/>
    <mergeCell ref="G107:H10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opLeftCell="B1" zoomScale="140" zoomScaleNormal="140" workbookViewId="0">
      <selection activeCell="H14" sqref="H14"/>
    </sheetView>
  </sheetViews>
  <sheetFormatPr baseColWidth="10" defaultColWidth="16.5703125" defaultRowHeight="12.75" x14ac:dyDescent="0.2"/>
  <cols>
    <col min="1" max="1" width="16.5703125" style="1" customWidth="1"/>
    <col min="2" max="5" width="12.7109375" style="1" customWidth="1"/>
    <col min="6" max="6" width="6.5703125" style="1" bestFit="1" customWidth="1"/>
    <col min="7" max="11" width="12.7109375" style="1" customWidth="1"/>
    <col min="12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4" ht="15.75" x14ac:dyDescent="0.25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5.75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ht="15.75" x14ac:dyDescent="0.25">
      <c r="A4" s="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4" ht="15.75" x14ac:dyDescent="0.25">
      <c r="A5" s="3" t="s">
        <v>2</v>
      </c>
      <c r="B5" s="5"/>
      <c r="C5" s="5"/>
      <c r="D5" s="5"/>
      <c r="E5" s="6"/>
      <c r="F5" s="6"/>
      <c r="G5" s="6"/>
    </row>
    <row r="6" spans="1:14" ht="13.5" x14ac:dyDescent="0.25">
      <c r="C6" s="335" t="s">
        <v>3</v>
      </c>
      <c r="D6" s="335"/>
      <c r="E6" s="336"/>
      <c r="F6" s="336"/>
      <c r="G6" s="336"/>
      <c r="H6" s="335" t="s">
        <v>4</v>
      </c>
      <c r="I6" s="335"/>
      <c r="J6" s="335"/>
      <c r="K6" s="335"/>
    </row>
    <row r="7" spans="1:14" ht="13.5" x14ac:dyDescent="0.25">
      <c r="A7" s="337" t="s">
        <v>5</v>
      </c>
      <c r="B7" s="339" t="s">
        <v>6</v>
      </c>
      <c r="C7" s="339" t="s">
        <v>7</v>
      </c>
      <c r="D7" s="339" t="s">
        <v>8</v>
      </c>
      <c r="E7" s="340" t="s">
        <v>9</v>
      </c>
      <c r="F7" s="340" t="s">
        <v>10</v>
      </c>
      <c r="G7" s="337" t="s">
        <v>11</v>
      </c>
      <c r="H7" s="340" t="s">
        <v>12</v>
      </c>
      <c r="I7" s="340" t="s">
        <v>13</v>
      </c>
      <c r="J7" s="340" t="s">
        <v>14</v>
      </c>
      <c r="K7" s="340" t="s">
        <v>15</v>
      </c>
      <c r="L7" s="75" t="s">
        <v>16</v>
      </c>
    </row>
    <row r="8" spans="1:14" ht="13.5" x14ac:dyDescent="0.2">
      <c r="A8" s="338"/>
      <c r="B8" s="339"/>
      <c r="C8" s="339"/>
      <c r="D8" s="339"/>
      <c r="E8" s="340"/>
      <c r="F8" s="340"/>
      <c r="G8" s="338"/>
      <c r="H8" s="340"/>
      <c r="I8" s="340"/>
      <c r="J8" s="340"/>
      <c r="K8" s="340"/>
      <c r="L8" s="8" t="s">
        <v>17</v>
      </c>
    </row>
    <row r="9" spans="1:14" s="17" customFormat="1" ht="13.5" x14ac:dyDescent="0.25">
      <c r="A9" s="9" t="s">
        <v>18</v>
      </c>
      <c r="B9" s="10">
        <v>10284399.08</v>
      </c>
      <c r="C9" s="10">
        <v>4241319.95</v>
      </c>
      <c r="D9" s="11">
        <v>0</v>
      </c>
      <c r="E9" s="10">
        <v>1326848.48</v>
      </c>
      <c r="F9" s="12">
        <f>+E9/C9</f>
        <v>0.31283857281269239</v>
      </c>
      <c r="G9" s="10">
        <f t="shared" ref="G9:G20" si="0">+C9+D9-E9</f>
        <v>2914471.47</v>
      </c>
      <c r="H9" s="13">
        <f>191969.3+2623092.4</f>
        <v>2815061.6999999997</v>
      </c>
      <c r="I9" s="14">
        <f>129996.6+17400</f>
        <v>147396.6</v>
      </c>
      <c r="J9" s="14">
        <f>4429+43557.83</f>
        <v>47986.83</v>
      </c>
      <c r="K9" s="14">
        <f>H9+I9-J9</f>
        <v>2914471.4699999997</v>
      </c>
      <c r="L9" s="15">
        <f>+F9</f>
        <v>0.31283857281269239</v>
      </c>
      <c r="M9" s="46">
        <f>+K9-G9</f>
        <v>0</v>
      </c>
      <c r="N9" s="16"/>
    </row>
    <row r="10" spans="1:14" ht="13.5" x14ac:dyDescent="0.2">
      <c r="A10" s="9" t="s">
        <v>20</v>
      </c>
      <c r="B10" s="10">
        <v>25204741</v>
      </c>
      <c r="C10" s="10">
        <v>5023007.03</v>
      </c>
      <c r="D10" s="11">
        <v>0</v>
      </c>
      <c r="E10" s="10">
        <v>5253990.1500000004</v>
      </c>
      <c r="F10" s="12">
        <f t="shared" ref="F10:F15" si="1">+E10/C10</f>
        <v>1.0459850282152601</v>
      </c>
      <c r="G10" s="10">
        <f t="shared" si="0"/>
        <v>-230983.12000000011</v>
      </c>
      <c r="H10" s="13">
        <f>70563.59-127427.57</f>
        <v>-56863.98000000001</v>
      </c>
      <c r="I10" s="14">
        <v>190712.37</v>
      </c>
      <c r="J10" s="14">
        <f>335259+29572.51</f>
        <v>364831.51</v>
      </c>
      <c r="K10" s="14">
        <f t="shared" ref="K10:K18" si="2">H10+I10-J10</f>
        <v>-230983.12000000002</v>
      </c>
      <c r="L10" s="15">
        <f t="shared" ref="L10:L20" si="3">+F10</f>
        <v>1.0459850282152601</v>
      </c>
      <c r="M10" s="46">
        <f>+K10-G10</f>
        <v>0</v>
      </c>
      <c r="N10" s="18"/>
    </row>
    <row r="11" spans="1:14" ht="13.5" x14ac:dyDescent="0.2">
      <c r="A11" s="9" t="s">
        <v>21</v>
      </c>
      <c r="B11" s="10"/>
      <c r="C11" s="10">
        <v>46443</v>
      </c>
      <c r="D11" s="11">
        <v>0</v>
      </c>
      <c r="E11" s="11">
        <v>0</v>
      </c>
      <c r="F11" s="12">
        <f t="shared" si="1"/>
        <v>0</v>
      </c>
      <c r="G11" s="10">
        <f t="shared" si="0"/>
        <v>46443</v>
      </c>
      <c r="H11" s="13">
        <v>47443</v>
      </c>
      <c r="I11" s="14">
        <v>0</v>
      </c>
      <c r="J11" s="14">
        <v>1000</v>
      </c>
      <c r="K11" s="14">
        <f t="shared" si="2"/>
        <v>46443</v>
      </c>
      <c r="L11" s="15">
        <f t="shared" si="3"/>
        <v>0</v>
      </c>
      <c r="M11" s="46">
        <f>+K11-G11</f>
        <v>0</v>
      </c>
    </row>
    <row r="12" spans="1:14" ht="13.5" x14ac:dyDescent="0.2">
      <c r="A12" s="9" t="s">
        <v>22</v>
      </c>
      <c r="B12" s="10"/>
      <c r="C12" s="10">
        <v>97167</v>
      </c>
      <c r="D12" s="11">
        <v>0</v>
      </c>
      <c r="E12" s="11">
        <v>0</v>
      </c>
      <c r="F12" s="12">
        <f t="shared" si="1"/>
        <v>0</v>
      </c>
      <c r="G12" s="10">
        <f t="shared" si="0"/>
        <v>97167</v>
      </c>
      <c r="H12" s="13">
        <v>98167</v>
      </c>
      <c r="I12" s="14"/>
      <c r="J12" s="14">
        <v>1000</v>
      </c>
      <c r="K12" s="14">
        <f t="shared" si="2"/>
        <v>97167</v>
      </c>
      <c r="L12" s="15">
        <f t="shared" si="3"/>
        <v>0</v>
      </c>
      <c r="M12" s="46">
        <f>+K12-G12</f>
        <v>0</v>
      </c>
    </row>
    <row r="13" spans="1:14" ht="13.5" x14ac:dyDescent="0.2">
      <c r="A13" s="9" t="s">
        <v>23</v>
      </c>
      <c r="B13" s="10"/>
      <c r="C13" s="10">
        <v>326829</v>
      </c>
      <c r="D13" s="11">
        <v>0</v>
      </c>
      <c r="E13" s="11">
        <v>0</v>
      </c>
      <c r="F13" s="12">
        <f t="shared" si="1"/>
        <v>0</v>
      </c>
      <c r="G13" s="10">
        <f t="shared" si="0"/>
        <v>326829</v>
      </c>
      <c r="H13" s="13">
        <v>327829</v>
      </c>
      <c r="I13" s="14"/>
      <c r="J13" s="14">
        <v>1000</v>
      </c>
      <c r="K13" s="14">
        <f t="shared" si="2"/>
        <v>326829</v>
      </c>
      <c r="L13" s="15">
        <f t="shared" si="3"/>
        <v>0</v>
      </c>
      <c r="M13" s="46">
        <f t="shared" ref="M13:M19" si="4">+K13-G13</f>
        <v>0</v>
      </c>
    </row>
    <row r="14" spans="1:14" ht="13.5" x14ac:dyDescent="0.2">
      <c r="A14" s="9" t="s">
        <v>24</v>
      </c>
      <c r="B14" s="10">
        <v>109071.3</v>
      </c>
      <c r="C14" s="10">
        <v>3490915.11</v>
      </c>
      <c r="D14" s="11">
        <v>0</v>
      </c>
      <c r="E14" s="10">
        <v>406011</v>
      </c>
      <c r="F14" s="12">
        <f t="shared" si="1"/>
        <v>0.11630503383967994</v>
      </c>
      <c r="G14" s="10">
        <f t="shared" si="0"/>
        <v>3084904.11</v>
      </c>
      <c r="H14" s="13">
        <v>777590.95</v>
      </c>
      <c r="I14" s="14">
        <v>0</v>
      </c>
      <c r="J14" s="14">
        <f>26325+167</f>
        <v>26492</v>
      </c>
      <c r="K14" s="14">
        <f t="shared" si="2"/>
        <v>751098.95</v>
      </c>
      <c r="L14" s="15">
        <f t="shared" si="3"/>
        <v>0.11630503383967994</v>
      </c>
      <c r="M14" s="48">
        <f t="shared" si="4"/>
        <v>-2333805.16</v>
      </c>
    </row>
    <row r="15" spans="1:14" ht="13.5" x14ac:dyDescent="0.2">
      <c r="A15" s="9" t="s">
        <v>25</v>
      </c>
      <c r="B15" s="10"/>
      <c r="C15" s="10">
        <v>153441</v>
      </c>
      <c r="D15" s="11">
        <v>0</v>
      </c>
      <c r="E15" s="10">
        <v>9717.48</v>
      </c>
      <c r="F15" s="12">
        <f t="shared" si="1"/>
        <v>6.3330400610006443E-2</v>
      </c>
      <c r="G15" s="10">
        <f t="shared" si="0"/>
        <v>143723.51999999999</v>
      </c>
      <c r="H15" s="13">
        <v>144723.51999999999</v>
      </c>
      <c r="I15" s="14">
        <v>0</v>
      </c>
      <c r="J15" s="14">
        <v>1000</v>
      </c>
      <c r="K15" s="14">
        <f t="shared" si="2"/>
        <v>143723.51999999999</v>
      </c>
      <c r="L15" s="15">
        <f t="shared" si="3"/>
        <v>6.3330400610006443E-2</v>
      </c>
      <c r="M15" s="46">
        <f t="shared" si="4"/>
        <v>0</v>
      </c>
    </row>
    <row r="16" spans="1:14" ht="13.5" x14ac:dyDescent="0.2">
      <c r="A16" s="9" t="s">
        <v>26</v>
      </c>
      <c r="B16" s="10"/>
      <c r="C16" s="11">
        <v>0</v>
      </c>
      <c r="D16" s="11"/>
      <c r="E16" s="11">
        <v>0</v>
      </c>
      <c r="F16" s="12">
        <v>0</v>
      </c>
      <c r="G16" s="14">
        <f t="shared" si="0"/>
        <v>0</v>
      </c>
      <c r="H16" s="11"/>
      <c r="I16" s="14">
        <v>0</v>
      </c>
      <c r="J16" s="14">
        <v>0</v>
      </c>
      <c r="K16" s="14">
        <f t="shared" si="2"/>
        <v>0</v>
      </c>
      <c r="L16" s="15">
        <f t="shared" si="3"/>
        <v>0</v>
      </c>
      <c r="M16" s="47">
        <f t="shared" si="4"/>
        <v>0</v>
      </c>
    </row>
    <row r="17" spans="1:15" ht="13.5" x14ac:dyDescent="0.2">
      <c r="A17" s="9" t="s">
        <v>27</v>
      </c>
      <c r="B17" s="10"/>
      <c r="C17" s="11">
        <v>0</v>
      </c>
      <c r="D17" s="11">
        <v>0</v>
      </c>
      <c r="E17" s="11">
        <v>0</v>
      </c>
      <c r="F17" s="12">
        <v>0</v>
      </c>
      <c r="G17" s="14">
        <f t="shared" si="0"/>
        <v>0</v>
      </c>
      <c r="H17" s="11"/>
      <c r="I17" s="14">
        <v>0</v>
      </c>
      <c r="J17" s="14">
        <v>0</v>
      </c>
      <c r="K17" s="14">
        <f t="shared" si="2"/>
        <v>0</v>
      </c>
      <c r="L17" s="15">
        <f t="shared" si="3"/>
        <v>0</v>
      </c>
      <c r="M17" s="47">
        <f t="shared" si="4"/>
        <v>0</v>
      </c>
    </row>
    <row r="18" spans="1:15" ht="13.5" x14ac:dyDescent="0.2">
      <c r="A18" s="9" t="s">
        <v>28</v>
      </c>
      <c r="B18" s="10"/>
      <c r="C18" s="10">
        <v>11943.06</v>
      </c>
      <c r="D18" s="11">
        <v>0</v>
      </c>
      <c r="E18" s="11">
        <v>0</v>
      </c>
      <c r="F18" s="12">
        <f>+E18/C18</f>
        <v>0</v>
      </c>
      <c r="G18" s="10">
        <f t="shared" si="0"/>
        <v>11943.06</v>
      </c>
      <c r="H18" s="13">
        <v>12943.06</v>
      </c>
      <c r="I18" s="14">
        <v>0</v>
      </c>
      <c r="J18" s="14">
        <v>1000</v>
      </c>
      <c r="K18" s="14">
        <f t="shared" si="2"/>
        <v>11943.06</v>
      </c>
      <c r="L18" s="15">
        <f t="shared" si="3"/>
        <v>0</v>
      </c>
      <c r="M18" s="48">
        <f t="shared" si="4"/>
        <v>0</v>
      </c>
      <c r="N18" s="18"/>
    </row>
    <row r="19" spans="1:15" ht="13.5" x14ac:dyDescent="0.2">
      <c r="A19" s="9" t="s">
        <v>29</v>
      </c>
      <c r="B19" s="10"/>
      <c r="C19" s="10">
        <v>8391819</v>
      </c>
      <c r="D19" s="11">
        <v>0</v>
      </c>
      <c r="E19" s="11">
        <v>0</v>
      </c>
      <c r="F19" s="12">
        <f>+E19/C19</f>
        <v>0</v>
      </c>
      <c r="G19" s="10">
        <f t="shared" si="0"/>
        <v>8391819</v>
      </c>
      <c r="H19" s="13">
        <v>8392819</v>
      </c>
      <c r="I19" s="14">
        <v>0</v>
      </c>
      <c r="J19" s="14">
        <v>1000</v>
      </c>
      <c r="K19" s="14">
        <f>H19+I19-J19</f>
        <v>8391819</v>
      </c>
      <c r="L19" s="15">
        <f t="shared" si="3"/>
        <v>0</v>
      </c>
      <c r="M19" s="46">
        <f t="shared" si="4"/>
        <v>0</v>
      </c>
      <c r="N19" s="18"/>
      <c r="O19" s="18"/>
    </row>
    <row r="20" spans="1:15" ht="13.5" x14ac:dyDescent="0.2">
      <c r="A20" s="9" t="s">
        <v>30</v>
      </c>
      <c r="B20" s="10">
        <v>19272339</v>
      </c>
      <c r="C20" s="10">
        <v>5292744</v>
      </c>
      <c r="D20" s="11">
        <v>0</v>
      </c>
      <c r="E20" s="10">
        <v>3587068.8</v>
      </c>
      <c r="F20" s="12">
        <f>+E20/C20</f>
        <v>0.67773328919743703</v>
      </c>
      <c r="G20" s="10">
        <f t="shared" si="0"/>
        <v>1705675.2000000002</v>
      </c>
      <c r="H20" s="13">
        <v>1762573.2</v>
      </c>
      <c r="I20" s="14">
        <v>0</v>
      </c>
      <c r="J20" s="14">
        <f>1000+55898</f>
        <v>56898</v>
      </c>
      <c r="K20" s="14">
        <f>H20+I20-J20</f>
        <v>1705675.2</v>
      </c>
      <c r="L20" s="15">
        <f t="shared" si="3"/>
        <v>0.67773328919743703</v>
      </c>
      <c r="M20" s="46">
        <f>+K20-G20</f>
        <v>0</v>
      </c>
      <c r="N20" s="19"/>
      <c r="O20" s="18"/>
    </row>
    <row r="21" spans="1:15" s="5" customFormat="1" ht="13.5" x14ac:dyDescent="0.2">
      <c r="A21" s="20" t="s">
        <v>51</v>
      </c>
      <c r="B21" s="21">
        <f t="shared" ref="B21:K21" si="5">SUM(B9:B20)</f>
        <v>54870550.379999995</v>
      </c>
      <c r="C21" s="21">
        <f t="shared" si="5"/>
        <v>27075628.149999999</v>
      </c>
      <c r="D21" s="21">
        <f t="shared" si="5"/>
        <v>0</v>
      </c>
      <c r="E21" s="21">
        <f t="shared" si="5"/>
        <v>10583635.91</v>
      </c>
      <c r="F21" s="21">
        <f t="shared" si="5"/>
        <v>2.2161923246750757</v>
      </c>
      <c r="G21" s="21">
        <f t="shared" si="5"/>
        <v>16491992.239999998</v>
      </c>
      <c r="H21" s="21">
        <f t="shared" si="5"/>
        <v>14322286.449999999</v>
      </c>
      <c r="I21" s="21">
        <f t="shared" si="5"/>
        <v>338108.97</v>
      </c>
      <c r="J21" s="21">
        <f t="shared" si="5"/>
        <v>502208.34</v>
      </c>
      <c r="K21" s="21">
        <f t="shared" si="5"/>
        <v>14158187.079999998</v>
      </c>
      <c r="L21" s="23"/>
      <c r="M21" s="46">
        <f>+K21-G21</f>
        <v>-2333805.16</v>
      </c>
    </row>
    <row r="22" spans="1:15" s="17" customFormat="1" ht="13.5" x14ac:dyDescent="0.25">
      <c r="A22" s="9" t="s">
        <v>18</v>
      </c>
      <c r="B22" s="10">
        <v>9497181.3399999999</v>
      </c>
      <c r="C22" s="10">
        <v>9497181.3399999999</v>
      </c>
      <c r="D22" s="11">
        <v>0</v>
      </c>
      <c r="E22" s="10">
        <v>8522902.6999999993</v>
      </c>
      <c r="F22" s="12">
        <f>+E22/C22</f>
        <v>0.89741391628518696</v>
      </c>
      <c r="G22" s="10">
        <f>+C22+D22-E22</f>
        <v>974278.6400000006</v>
      </c>
      <c r="H22" s="13">
        <f>781984.35-0.47</f>
        <v>781983.88</v>
      </c>
      <c r="I22" s="14">
        <f>22013.2+172259.48</f>
        <v>194272.68000000002</v>
      </c>
      <c r="J22" s="14">
        <f>-4302.52+6280.44</f>
        <v>1977.9199999999992</v>
      </c>
      <c r="K22" s="14">
        <f>H22+I22-J22</f>
        <v>974278.64</v>
      </c>
      <c r="L22" s="15">
        <f>+F22</f>
        <v>0.89741391628518696</v>
      </c>
      <c r="M22" s="16">
        <f t="shared" ref="M22:M33" si="6">+K22-G22</f>
        <v>0</v>
      </c>
    </row>
    <row r="23" spans="1:15" ht="13.5" x14ac:dyDescent="0.2">
      <c r="A23" s="9" t="s">
        <v>20</v>
      </c>
      <c r="B23" s="10">
        <v>28461059.77</v>
      </c>
      <c r="C23" s="10">
        <f>+B23</f>
        <v>28461059.77</v>
      </c>
      <c r="D23" s="11">
        <v>0</v>
      </c>
      <c r="E23" s="10">
        <v>27479996.23</v>
      </c>
      <c r="F23" s="12">
        <f t="shared" ref="F23:F35" si="7">+E23/C23</f>
        <v>0.96552962019235455</v>
      </c>
      <c r="G23" s="10">
        <f>+C23+D23-E23</f>
        <v>981063.53999999911</v>
      </c>
      <c r="H23" s="13">
        <f>170500+1827605.1</f>
        <v>1998105.1</v>
      </c>
      <c r="I23" s="14">
        <v>0</v>
      </c>
      <c r="J23" s="14">
        <f>854134.16+162187.53+719.87</f>
        <v>1017041.56</v>
      </c>
      <c r="K23" s="14">
        <f t="shared" ref="K23:K86" si="8">H23+I23-J23</f>
        <v>981063.54</v>
      </c>
      <c r="L23" s="15">
        <f t="shared" ref="L23:L38" si="9">+F23</f>
        <v>0.96552962019235455</v>
      </c>
      <c r="M23" s="16">
        <f t="shared" si="6"/>
        <v>9.3132257461547852E-10</v>
      </c>
      <c r="N23" s="18"/>
    </row>
    <row r="24" spans="1:15" ht="13.5" x14ac:dyDescent="0.2">
      <c r="A24" s="9" t="s">
        <v>21</v>
      </c>
      <c r="B24" s="10">
        <v>266576.99</v>
      </c>
      <c r="C24" s="10">
        <v>266576.99</v>
      </c>
      <c r="D24" s="11">
        <v>0</v>
      </c>
      <c r="E24" s="10">
        <v>80893</v>
      </c>
      <c r="F24" s="12">
        <f t="shared" si="7"/>
        <v>0.30345079670979858</v>
      </c>
      <c r="G24" s="10">
        <f>+C24+D24-E24</f>
        <v>185683.99</v>
      </c>
      <c r="H24" s="13">
        <v>185683.99</v>
      </c>
      <c r="I24" s="14">
        <v>0</v>
      </c>
      <c r="J24" s="14">
        <v>0</v>
      </c>
      <c r="K24" s="14">
        <f t="shared" si="8"/>
        <v>185683.99</v>
      </c>
      <c r="L24" s="15">
        <f t="shared" si="9"/>
        <v>0.30345079670979858</v>
      </c>
      <c r="M24" s="16">
        <f t="shared" si="6"/>
        <v>0</v>
      </c>
    </row>
    <row r="25" spans="1:15" ht="13.5" x14ac:dyDescent="0.2">
      <c r="A25" s="9" t="s">
        <v>22</v>
      </c>
      <c r="B25" s="10">
        <v>757786.85</v>
      </c>
      <c r="C25" s="10">
        <v>757786.85</v>
      </c>
      <c r="D25" s="10">
        <v>149.51</v>
      </c>
      <c r="E25" s="10">
        <v>201977</v>
      </c>
      <c r="F25" s="12">
        <f t="shared" si="7"/>
        <v>0.26653537205086103</v>
      </c>
      <c r="G25" s="10">
        <f t="shared" ref="G25:G33" si="10">+C25+D25-E25</f>
        <v>555959.36</v>
      </c>
      <c r="H25" s="13">
        <v>555959.36</v>
      </c>
      <c r="I25" s="14">
        <v>0</v>
      </c>
      <c r="J25" s="14">
        <v>0</v>
      </c>
      <c r="K25" s="14">
        <f t="shared" si="8"/>
        <v>555959.36</v>
      </c>
      <c r="L25" s="15">
        <f t="shared" si="9"/>
        <v>0.26653537205086103</v>
      </c>
      <c r="M25" s="16">
        <f t="shared" si="6"/>
        <v>0</v>
      </c>
    </row>
    <row r="26" spans="1:15" ht="13.5" x14ac:dyDescent="0.2">
      <c r="A26" s="9" t="s">
        <v>23</v>
      </c>
      <c r="B26" s="10">
        <v>919872.2</v>
      </c>
      <c r="C26" s="10">
        <v>919872.2</v>
      </c>
      <c r="D26" s="10">
        <v>408.58</v>
      </c>
      <c r="E26" s="10">
        <v>788192.61</v>
      </c>
      <c r="F26" s="12">
        <f t="shared" si="7"/>
        <v>0.85685012548482287</v>
      </c>
      <c r="G26" s="10">
        <f t="shared" si="10"/>
        <v>132088.16999999993</v>
      </c>
      <c r="H26" s="13">
        <v>132088.17000000001</v>
      </c>
      <c r="I26" s="14">
        <v>0</v>
      </c>
      <c r="J26" s="14">
        <v>0</v>
      </c>
      <c r="K26" s="14">
        <f t="shared" si="8"/>
        <v>132088.17000000001</v>
      </c>
      <c r="L26" s="15">
        <f t="shared" si="9"/>
        <v>0.85685012548482287</v>
      </c>
      <c r="M26" s="16">
        <f t="shared" si="6"/>
        <v>0</v>
      </c>
    </row>
    <row r="27" spans="1:15" ht="13.5" x14ac:dyDescent="0.2">
      <c r="A27" s="9" t="s">
        <v>24</v>
      </c>
      <c r="B27" s="10">
        <v>0</v>
      </c>
      <c r="C27" s="10">
        <v>423848.18</v>
      </c>
      <c r="D27" s="11">
        <v>0</v>
      </c>
      <c r="E27" s="10">
        <v>0</v>
      </c>
      <c r="F27" s="12">
        <f t="shared" si="7"/>
        <v>0</v>
      </c>
      <c r="G27" s="10">
        <f>+C27+D27-E27</f>
        <v>423848.18</v>
      </c>
      <c r="H27" s="13">
        <v>720930.97</v>
      </c>
      <c r="I27" s="14">
        <v>1120</v>
      </c>
      <c r="J27" s="14">
        <f>287062+8756.79+2388</f>
        <v>298206.78999999998</v>
      </c>
      <c r="K27" s="14">
        <f t="shared" si="8"/>
        <v>423844.18</v>
      </c>
      <c r="L27" s="15">
        <f t="shared" si="9"/>
        <v>0</v>
      </c>
      <c r="M27" s="49">
        <f t="shared" si="6"/>
        <v>-4</v>
      </c>
    </row>
    <row r="28" spans="1:15" ht="13.5" x14ac:dyDescent="0.2">
      <c r="A28" s="9" t="s">
        <v>25</v>
      </c>
      <c r="B28" s="10">
        <v>868753.03</v>
      </c>
      <c r="C28" s="10">
        <v>868753.03</v>
      </c>
      <c r="D28" s="10">
        <v>131.31</v>
      </c>
      <c r="E28" s="10">
        <v>542712.97</v>
      </c>
      <c r="F28" s="12">
        <f t="shared" si="7"/>
        <v>0.624703398156781</v>
      </c>
      <c r="G28" s="10">
        <f t="shared" si="10"/>
        <v>326171.37000000011</v>
      </c>
      <c r="H28" s="13">
        <v>326171.37</v>
      </c>
      <c r="I28" s="14">
        <v>0</v>
      </c>
      <c r="J28" s="14">
        <v>0</v>
      </c>
      <c r="K28" s="14">
        <f t="shared" si="8"/>
        <v>326171.37</v>
      </c>
      <c r="L28" s="15">
        <f t="shared" si="9"/>
        <v>0.624703398156781</v>
      </c>
      <c r="M28" s="16">
        <f t="shared" si="6"/>
        <v>0</v>
      </c>
    </row>
    <row r="29" spans="1:15" ht="13.5" x14ac:dyDescent="0.2">
      <c r="A29" s="9" t="s">
        <v>26</v>
      </c>
      <c r="B29" s="10">
        <v>0</v>
      </c>
      <c r="C29" s="10">
        <v>0</v>
      </c>
      <c r="D29" s="11">
        <v>0</v>
      </c>
      <c r="E29" s="10">
        <v>0</v>
      </c>
      <c r="F29" s="12">
        <v>0</v>
      </c>
      <c r="G29" s="14">
        <f t="shared" si="10"/>
        <v>0</v>
      </c>
      <c r="H29" s="11">
        <v>0</v>
      </c>
      <c r="I29" s="14">
        <v>0</v>
      </c>
      <c r="J29" s="14">
        <v>0</v>
      </c>
      <c r="K29" s="14">
        <f t="shared" si="8"/>
        <v>0</v>
      </c>
      <c r="L29" s="15">
        <f t="shared" si="9"/>
        <v>0</v>
      </c>
      <c r="M29" s="16">
        <f t="shared" si="6"/>
        <v>0</v>
      </c>
    </row>
    <row r="30" spans="1:15" ht="13.5" x14ac:dyDescent="0.2">
      <c r="A30" s="9" t="s">
        <v>27</v>
      </c>
      <c r="B30" s="10">
        <v>0</v>
      </c>
      <c r="C30" s="10">
        <v>0</v>
      </c>
      <c r="D30" s="11">
        <v>0</v>
      </c>
      <c r="E30" s="10">
        <v>0</v>
      </c>
      <c r="F30" s="12">
        <v>0</v>
      </c>
      <c r="G30" s="14">
        <f t="shared" si="10"/>
        <v>0</v>
      </c>
      <c r="H30" s="11">
        <v>0</v>
      </c>
      <c r="I30" s="14">
        <v>0</v>
      </c>
      <c r="J30" s="14">
        <v>0</v>
      </c>
      <c r="K30" s="14">
        <f t="shared" si="8"/>
        <v>0</v>
      </c>
      <c r="L30" s="15">
        <f t="shared" si="9"/>
        <v>0</v>
      </c>
      <c r="M30" s="16">
        <f t="shared" si="6"/>
        <v>0</v>
      </c>
    </row>
    <row r="31" spans="1:15" ht="13.5" x14ac:dyDescent="0.2">
      <c r="A31" s="9" t="s">
        <v>27</v>
      </c>
      <c r="B31" s="10">
        <v>573447.68000000005</v>
      </c>
      <c r="C31" s="10">
        <v>573447.68999999994</v>
      </c>
      <c r="D31" s="11">
        <v>0</v>
      </c>
      <c r="E31" s="10">
        <v>569680.31999999995</v>
      </c>
      <c r="F31" s="12">
        <f t="shared" si="7"/>
        <v>0.99343031619850108</v>
      </c>
      <c r="G31" s="10">
        <f t="shared" si="10"/>
        <v>3767.3699999999953</v>
      </c>
      <c r="H31" s="13">
        <v>3767.37</v>
      </c>
      <c r="I31" s="14">
        <v>0</v>
      </c>
      <c r="J31" s="14">
        <v>0</v>
      </c>
      <c r="K31" s="14">
        <f t="shared" si="8"/>
        <v>3767.37</v>
      </c>
      <c r="L31" s="15">
        <f t="shared" si="9"/>
        <v>0.99343031619850108</v>
      </c>
      <c r="M31" s="16">
        <f t="shared" si="6"/>
        <v>4.5474735088646412E-12</v>
      </c>
    </row>
    <row r="32" spans="1:15" ht="13.5" x14ac:dyDescent="0.2">
      <c r="A32" s="9" t="s">
        <v>28</v>
      </c>
      <c r="B32" s="10">
        <v>36484.65</v>
      </c>
      <c r="C32" s="10">
        <v>36484.65</v>
      </c>
      <c r="D32" s="11">
        <v>0</v>
      </c>
      <c r="E32" s="10">
        <v>0</v>
      </c>
      <c r="F32" s="12">
        <f t="shared" si="7"/>
        <v>0</v>
      </c>
      <c r="G32" s="10">
        <f t="shared" si="10"/>
        <v>36484.65</v>
      </c>
      <c r="H32" s="13">
        <v>36484.65</v>
      </c>
      <c r="I32" s="14">
        <v>0</v>
      </c>
      <c r="J32" s="14">
        <v>0</v>
      </c>
      <c r="K32" s="14">
        <f t="shared" si="8"/>
        <v>36484.65</v>
      </c>
      <c r="L32" s="15">
        <f t="shared" si="9"/>
        <v>0</v>
      </c>
      <c r="M32" s="16">
        <f t="shared" si="6"/>
        <v>0</v>
      </c>
    </row>
    <row r="33" spans="1:15" ht="13.5" x14ac:dyDescent="0.2">
      <c r="A33" s="9" t="s">
        <v>29</v>
      </c>
      <c r="B33" s="10">
        <v>25802087</v>
      </c>
      <c r="C33" s="10">
        <v>25802087</v>
      </c>
      <c r="D33" s="45">
        <f>1948.34+11855.21+17411.8+24901.03+30826.95+1275.36+39471.97+28017.47</f>
        <v>155708.13</v>
      </c>
      <c r="E33" s="10">
        <v>21535015.98</v>
      </c>
      <c r="F33" s="12">
        <f t="shared" si="7"/>
        <v>0.83462302797444254</v>
      </c>
      <c r="G33" s="10">
        <f t="shared" si="10"/>
        <v>4422779.1499999985</v>
      </c>
      <c r="H33" s="13">
        <f>4256662.33+280000</f>
        <v>4536662.33</v>
      </c>
      <c r="I33" s="14">
        <f>152805.87-30099.8</f>
        <v>122706.06999999999</v>
      </c>
      <c r="J33" s="14">
        <f>20016.25+101234.5+88489.25+27754.43-905.18</f>
        <v>236589.25</v>
      </c>
      <c r="K33" s="14">
        <f>H33+I33-J33</f>
        <v>4422779.1500000004</v>
      </c>
      <c r="L33" s="15">
        <f t="shared" si="9"/>
        <v>0.83462302797444254</v>
      </c>
      <c r="M33" s="16">
        <f t="shared" si="6"/>
        <v>0</v>
      </c>
      <c r="N33" s="18"/>
      <c r="O33" s="18"/>
    </row>
    <row r="34" spans="1:15" ht="13.5" x14ac:dyDescent="0.2">
      <c r="A34" s="9" t="s">
        <v>30</v>
      </c>
      <c r="B34" s="10">
        <v>0</v>
      </c>
      <c r="C34" s="10">
        <f>1296554.55-1984</f>
        <v>1294570.55</v>
      </c>
      <c r="D34" s="10">
        <v>0</v>
      </c>
      <c r="E34" s="10">
        <v>1101765.3</v>
      </c>
      <c r="F34" s="12">
        <f t="shared" si="7"/>
        <v>0.85106624741309</v>
      </c>
      <c r="G34" s="10">
        <f>+C34+D34-E34</f>
        <v>192805.25</v>
      </c>
      <c r="H34" s="13">
        <v>484505.73</v>
      </c>
      <c r="I34" s="14">
        <v>0</v>
      </c>
      <c r="J34" s="14">
        <f>117121+174579.48</f>
        <v>291700.47999999998</v>
      </c>
      <c r="K34" s="14">
        <f>H34+I34-J34</f>
        <v>192805.25</v>
      </c>
      <c r="L34" s="15">
        <f t="shared" si="9"/>
        <v>0.85106624741309</v>
      </c>
      <c r="M34" s="16">
        <f>+K34-G34</f>
        <v>0</v>
      </c>
      <c r="N34" s="19"/>
      <c r="O34" s="18"/>
    </row>
    <row r="35" spans="1:15" ht="13.5" x14ac:dyDescent="0.2">
      <c r="A35" s="9" t="s">
        <v>31</v>
      </c>
      <c r="B35" s="10">
        <v>700000</v>
      </c>
      <c r="C35" s="10">
        <v>700000</v>
      </c>
      <c r="D35" s="11">
        <v>0</v>
      </c>
      <c r="E35" s="10">
        <v>700000</v>
      </c>
      <c r="F35" s="12">
        <f t="shared" si="7"/>
        <v>1</v>
      </c>
      <c r="G35" s="11">
        <v>0</v>
      </c>
      <c r="H35" s="13">
        <v>9956.9</v>
      </c>
      <c r="I35" s="14">
        <v>0</v>
      </c>
      <c r="J35" s="14">
        <f>6034.48+3017.24+905.18</f>
        <v>9956.9</v>
      </c>
      <c r="K35" s="14">
        <f t="shared" si="8"/>
        <v>0</v>
      </c>
      <c r="L35" s="15">
        <f t="shared" si="9"/>
        <v>1</v>
      </c>
      <c r="M35" s="16">
        <f t="shared" ref="M35:M98" si="11">+K35-G35</f>
        <v>0</v>
      </c>
    </row>
    <row r="36" spans="1:15" ht="13.5" x14ac:dyDescent="0.2">
      <c r="A36" s="9">
        <v>3001</v>
      </c>
      <c r="B36" s="11">
        <v>0</v>
      </c>
      <c r="C36" s="11">
        <v>0</v>
      </c>
      <c r="D36" s="11">
        <v>0</v>
      </c>
      <c r="E36" s="10">
        <v>0</v>
      </c>
      <c r="F36" s="12">
        <v>0</v>
      </c>
      <c r="G36" s="11">
        <v>0</v>
      </c>
      <c r="H36" s="11">
        <v>0</v>
      </c>
      <c r="I36" s="14">
        <v>0</v>
      </c>
      <c r="J36" s="14">
        <v>0</v>
      </c>
      <c r="K36" s="14">
        <f t="shared" si="8"/>
        <v>0</v>
      </c>
      <c r="L36" s="15">
        <f t="shared" si="9"/>
        <v>0</v>
      </c>
      <c r="M36" s="16">
        <f t="shared" si="11"/>
        <v>0</v>
      </c>
    </row>
    <row r="37" spans="1:15" ht="13.5" x14ac:dyDescent="0.2">
      <c r="A37" s="9">
        <v>3002</v>
      </c>
      <c r="B37" s="11">
        <v>0</v>
      </c>
      <c r="C37" s="11">
        <v>0</v>
      </c>
      <c r="D37" s="11">
        <v>0</v>
      </c>
      <c r="E37" s="10">
        <v>0</v>
      </c>
      <c r="F37" s="12">
        <v>0</v>
      </c>
      <c r="G37" s="11">
        <v>0</v>
      </c>
      <c r="H37" s="11">
        <v>0</v>
      </c>
      <c r="I37" s="14">
        <v>0</v>
      </c>
      <c r="J37" s="14">
        <v>0</v>
      </c>
      <c r="K37" s="14">
        <f t="shared" si="8"/>
        <v>0</v>
      </c>
      <c r="L37" s="15">
        <f t="shared" si="9"/>
        <v>0</v>
      </c>
      <c r="M37" s="16">
        <f t="shared" si="11"/>
        <v>0</v>
      </c>
    </row>
    <row r="38" spans="1:15" ht="13.5" x14ac:dyDescent="0.2">
      <c r="A38" s="9" t="s">
        <v>32</v>
      </c>
      <c r="B38" s="10">
        <v>1483500</v>
      </c>
      <c r="C38" s="10">
        <v>1483500</v>
      </c>
      <c r="D38" s="11">
        <v>0</v>
      </c>
      <c r="E38" s="10">
        <v>1483500</v>
      </c>
      <c r="F38" s="12">
        <f>+E38/C38</f>
        <v>1</v>
      </c>
      <c r="G38" s="11">
        <v>0</v>
      </c>
      <c r="H38" s="13">
        <v>21101.51</v>
      </c>
      <c r="I38" s="14">
        <v>0</v>
      </c>
      <c r="J38" s="14">
        <f>12788.79+6394.4+1918.32</f>
        <v>21101.510000000002</v>
      </c>
      <c r="K38" s="14">
        <f t="shared" si="8"/>
        <v>0</v>
      </c>
      <c r="L38" s="15">
        <f t="shared" si="9"/>
        <v>1</v>
      </c>
      <c r="M38" s="16">
        <f t="shared" si="11"/>
        <v>0</v>
      </c>
    </row>
    <row r="39" spans="1:15" s="5" customFormat="1" ht="13.5" x14ac:dyDescent="0.2">
      <c r="A39" s="20" t="s">
        <v>33</v>
      </c>
      <c r="B39" s="21">
        <f>SUM(B22:B38)</f>
        <v>69366749.510000005</v>
      </c>
      <c r="C39" s="21">
        <f>SUM(C22:C38)</f>
        <v>71085168.25</v>
      </c>
      <c r="D39" s="21">
        <f>SUM(D22:D38)</f>
        <v>156397.53</v>
      </c>
      <c r="E39" s="21">
        <f>SUM(E22:E38)</f>
        <v>63006636.109999999</v>
      </c>
      <c r="F39" s="22">
        <f>+E39/C39</f>
        <v>0.88635418134499522</v>
      </c>
      <c r="G39" s="21">
        <f>SUM(G22:G38)</f>
        <v>8234929.6699999981</v>
      </c>
      <c r="H39" s="21">
        <f>SUM(H22:H38)</f>
        <v>9793401.3300000019</v>
      </c>
      <c r="I39" s="21">
        <f>SUM(I22:I38)</f>
        <v>318098.75</v>
      </c>
      <c r="J39" s="21">
        <f>SUM(J22:J38)</f>
        <v>1876574.41</v>
      </c>
      <c r="K39" s="21">
        <f>SUM(K22:K38)</f>
        <v>8234925.6699999999</v>
      </c>
      <c r="L39" s="23"/>
      <c r="M39" s="16">
        <f t="shared" si="11"/>
        <v>-3.9999999981373549</v>
      </c>
    </row>
    <row r="40" spans="1:15" ht="13.5" x14ac:dyDescent="0.2">
      <c r="A40" s="9" t="s">
        <v>18</v>
      </c>
      <c r="B40" s="10">
        <v>0</v>
      </c>
      <c r="C40" s="10">
        <v>0</v>
      </c>
      <c r="D40" s="13"/>
      <c r="E40" s="10">
        <v>0</v>
      </c>
      <c r="F40" s="12">
        <v>0</v>
      </c>
      <c r="G40" s="10">
        <v>4283.6000000000004</v>
      </c>
      <c r="H40" s="10">
        <v>32268.68</v>
      </c>
      <c r="I40" s="10">
        <v>0</v>
      </c>
      <c r="J40" s="10">
        <v>27985.08</v>
      </c>
      <c r="K40" s="10">
        <f t="shared" si="8"/>
        <v>4283.5999999999985</v>
      </c>
      <c r="L40" s="15"/>
      <c r="M40" s="16">
        <f t="shared" si="11"/>
        <v>0</v>
      </c>
    </row>
    <row r="41" spans="1:15" ht="13.5" x14ac:dyDescent="0.2">
      <c r="A41" s="9" t="s">
        <v>20</v>
      </c>
      <c r="B41" s="10">
        <v>0</v>
      </c>
      <c r="C41" s="10">
        <v>0</v>
      </c>
      <c r="D41" s="13"/>
      <c r="E41" s="10">
        <v>0</v>
      </c>
      <c r="F41" s="12">
        <v>0</v>
      </c>
      <c r="G41" s="10">
        <v>45477.47</v>
      </c>
      <c r="H41" s="10">
        <v>45477.47</v>
      </c>
      <c r="I41" s="10">
        <v>0</v>
      </c>
      <c r="J41" s="10">
        <v>0</v>
      </c>
      <c r="K41" s="10">
        <f t="shared" si="8"/>
        <v>45477.47</v>
      </c>
      <c r="L41" s="15"/>
      <c r="M41" s="16">
        <f t="shared" si="11"/>
        <v>0</v>
      </c>
    </row>
    <row r="42" spans="1:15" ht="13.5" x14ac:dyDescent="0.2">
      <c r="A42" s="9" t="s">
        <v>25</v>
      </c>
      <c r="B42" s="10">
        <v>0</v>
      </c>
      <c r="C42" s="10">
        <v>0</v>
      </c>
      <c r="D42" s="13"/>
      <c r="E42" s="10">
        <v>0</v>
      </c>
      <c r="F42" s="12">
        <v>0</v>
      </c>
      <c r="G42" s="10">
        <v>45082.35</v>
      </c>
      <c r="H42" s="10">
        <v>45082.35</v>
      </c>
      <c r="I42" s="10">
        <v>0</v>
      </c>
      <c r="J42" s="10">
        <v>0</v>
      </c>
      <c r="K42" s="10">
        <f t="shared" si="8"/>
        <v>45082.35</v>
      </c>
      <c r="L42" s="15"/>
      <c r="M42" s="16">
        <f t="shared" si="11"/>
        <v>0</v>
      </c>
    </row>
    <row r="43" spans="1:15" ht="13.5" x14ac:dyDescent="0.2">
      <c r="A43" s="9" t="s">
        <v>26</v>
      </c>
      <c r="B43" s="10">
        <v>0</v>
      </c>
      <c r="C43" s="10">
        <v>0</v>
      </c>
      <c r="D43" s="13"/>
      <c r="E43" s="10">
        <v>0</v>
      </c>
      <c r="F43" s="12">
        <v>0</v>
      </c>
      <c r="G43" s="10">
        <v>220218.16</v>
      </c>
      <c r="H43" s="10">
        <v>20218.16</v>
      </c>
      <c r="I43" s="10">
        <v>200000</v>
      </c>
      <c r="J43" s="10">
        <v>0</v>
      </c>
      <c r="K43" s="10">
        <f t="shared" si="8"/>
        <v>220218.16</v>
      </c>
      <c r="L43" s="15"/>
      <c r="M43" s="16">
        <f t="shared" si="11"/>
        <v>0</v>
      </c>
    </row>
    <row r="44" spans="1:15" ht="13.5" x14ac:dyDescent="0.2">
      <c r="A44" s="9" t="s">
        <v>29</v>
      </c>
      <c r="B44" s="10">
        <v>0</v>
      </c>
      <c r="C44" s="10">
        <v>0</v>
      </c>
      <c r="D44" s="11">
        <v>0</v>
      </c>
      <c r="E44" s="10">
        <v>0</v>
      </c>
      <c r="F44" s="12">
        <v>0</v>
      </c>
      <c r="G44" s="10">
        <v>2494385.7599999998</v>
      </c>
      <c r="H44" s="10">
        <f>66.53+2511998.64</f>
        <v>2512065.17</v>
      </c>
      <c r="I44" s="10">
        <v>0</v>
      </c>
      <c r="J44" s="10">
        <v>17679.41</v>
      </c>
      <c r="K44" s="10">
        <f t="shared" si="8"/>
        <v>2494385.7599999998</v>
      </c>
      <c r="L44" s="15"/>
      <c r="M44" s="16">
        <f t="shared" si="11"/>
        <v>0</v>
      </c>
    </row>
    <row r="45" spans="1:15" ht="27" x14ac:dyDescent="0.2">
      <c r="A45" s="9" t="s">
        <v>34</v>
      </c>
      <c r="B45" s="10">
        <v>0</v>
      </c>
      <c r="C45" s="10">
        <v>154782.26</v>
      </c>
      <c r="D45" s="13">
        <v>0</v>
      </c>
      <c r="E45" s="10">
        <v>0</v>
      </c>
      <c r="F45" s="12">
        <v>0</v>
      </c>
      <c r="G45" s="10">
        <f>+C45+D45-E45</f>
        <v>154782.26</v>
      </c>
      <c r="H45" s="10">
        <v>237102.37</v>
      </c>
      <c r="I45" s="10">
        <v>0</v>
      </c>
      <c r="J45" s="10">
        <v>82320.11</v>
      </c>
      <c r="K45" s="10">
        <f t="shared" si="8"/>
        <v>154782.26</v>
      </c>
      <c r="L45" s="15"/>
      <c r="M45" s="16">
        <f t="shared" si="11"/>
        <v>0</v>
      </c>
    </row>
    <row r="46" spans="1:15" ht="13.5" x14ac:dyDescent="0.2">
      <c r="A46" s="9"/>
      <c r="B46" s="10">
        <v>0</v>
      </c>
      <c r="C46" s="10">
        <v>0</v>
      </c>
      <c r="D46" s="10"/>
      <c r="E46" s="10">
        <v>0</v>
      </c>
      <c r="F46" s="12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8"/>
        <v>0</v>
      </c>
      <c r="L46" s="15"/>
      <c r="M46" s="16">
        <f t="shared" si="11"/>
        <v>0</v>
      </c>
    </row>
    <row r="47" spans="1:15" ht="13.5" x14ac:dyDescent="0.2">
      <c r="A47" s="24" t="s">
        <v>35</v>
      </c>
      <c r="B47" s="25">
        <f>SUM(B40:B46)</f>
        <v>0</v>
      </c>
      <c r="C47" s="25">
        <f t="shared" ref="C47:K47" si="12">SUM(C40:C46)</f>
        <v>154782.26</v>
      </c>
      <c r="D47" s="25">
        <f t="shared" si="12"/>
        <v>0</v>
      </c>
      <c r="E47" s="25">
        <f t="shared" si="12"/>
        <v>0</v>
      </c>
      <c r="F47" s="25">
        <f t="shared" si="12"/>
        <v>0</v>
      </c>
      <c r="G47" s="25">
        <f t="shared" si="12"/>
        <v>2964229.5999999996</v>
      </c>
      <c r="H47" s="25">
        <f t="shared" si="12"/>
        <v>2892214.2</v>
      </c>
      <c r="I47" s="25">
        <f t="shared" si="12"/>
        <v>200000</v>
      </c>
      <c r="J47" s="25">
        <f t="shared" si="12"/>
        <v>127984.6</v>
      </c>
      <c r="K47" s="25">
        <f t="shared" si="12"/>
        <v>2964229.5999999996</v>
      </c>
      <c r="L47" s="27"/>
      <c r="M47" s="16">
        <f t="shared" si="11"/>
        <v>0</v>
      </c>
    </row>
    <row r="48" spans="1:15" ht="13.5" x14ac:dyDescent="0.2">
      <c r="A48" s="9" t="s">
        <v>18</v>
      </c>
      <c r="B48" s="10">
        <v>0</v>
      </c>
      <c r="C48" s="10">
        <v>0</v>
      </c>
      <c r="D48" s="10"/>
      <c r="E48" s="10">
        <v>0</v>
      </c>
      <c r="F48" s="12">
        <v>0</v>
      </c>
      <c r="G48" s="10">
        <v>57064.89</v>
      </c>
      <c r="H48" s="10">
        <v>132233.86000000002</v>
      </c>
      <c r="I48" s="10">
        <v>185.03</v>
      </c>
      <c r="J48" s="10">
        <v>75354</v>
      </c>
      <c r="K48" s="10">
        <f t="shared" si="8"/>
        <v>57064.890000000014</v>
      </c>
      <c r="L48" s="15"/>
      <c r="M48" s="16">
        <f t="shared" si="11"/>
        <v>0</v>
      </c>
    </row>
    <row r="49" spans="1:13" ht="13.5" x14ac:dyDescent="0.2">
      <c r="A49" s="9" t="s">
        <v>36</v>
      </c>
      <c r="B49" s="10">
        <v>0</v>
      </c>
      <c r="C49" s="10">
        <v>0</v>
      </c>
      <c r="D49" s="10"/>
      <c r="E49" s="10">
        <v>0</v>
      </c>
      <c r="F49" s="12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8"/>
        <v>0</v>
      </c>
      <c r="L49" s="15"/>
      <c r="M49" s="16">
        <f t="shared" si="11"/>
        <v>0</v>
      </c>
    </row>
    <row r="50" spans="1:13" ht="13.5" x14ac:dyDescent="0.2">
      <c r="A50" s="9" t="s">
        <v>20</v>
      </c>
      <c r="B50" s="10">
        <v>0</v>
      </c>
      <c r="C50" s="10">
        <v>0</v>
      </c>
      <c r="D50" s="10"/>
      <c r="E50" s="10">
        <v>0</v>
      </c>
      <c r="F50" s="12">
        <v>0</v>
      </c>
      <c r="G50" s="10">
        <v>54914.5</v>
      </c>
      <c r="H50" s="10">
        <v>51501.9</v>
      </c>
      <c r="I50" s="10">
        <v>0</v>
      </c>
      <c r="J50" s="10">
        <v>-3412.6000000000931</v>
      </c>
      <c r="K50" s="10">
        <f t="shared" si="8"/>
        <v>54914.500000000095</v>
      </c>
      <c r="L50" s="15"/>
      <c r="M50" s="16">
        <f t="shared" si="11"/>
        <v>9.4587448984384537E-11</v>
      </c>
    </row>
    <row r="51" spans="1:13" ht="13.5" x14ac:dyDescent="0.2">
      <c r="A51" s="9" t="s">
        <v>21</v>
      </c>
      <c r="B51" s="10">
        <v>0</v>
      </c>
      <c r="C51" s="10">
        <v>0</v>
      </c>
      <c r="D51" s="10"/>
      <c r="E51" s="10">
        <v>0</v>
      </c>
      <c r="F51" s="12">
        <v>0</v>
      </c>
      <c r="G51" s="10">
        <v>5979.07</v>
      </c>
      <c r="H51" s="10">
        <v>5979.07</v>
      </c>
      <c r="I51" s="10">
        <v>0</v>
      </c>
      <c r="J51" s="10">
        <v>0</v>
      </c>
      <c r="K51" s="10">
        <f t="shared" si="8"/>
        <v>5979.07</v>
      </c>
      <c r="L51" s="15"/>
      <c r="M51" s="16">
        <f t="shared" si="11"/>
        <v>0</v>
      </c>
    </row>
    <row r="52" spans="1:13" ht="13.5" x14ac:dyDescent="0.2">
      <c r="A52" s="9" t="s">
        <v>22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60932.3</v>
      </c>
      <c r="H52" s="10">
        <v>60932.3</v>
      </c>
      <c r="I52" s="10">
        <v>0</v>
      </c>
      <c r="J52" s="10">
        <v>0</v>
      </c>
      <c r="K52" s="10">
        <f t="shared" si="8"/>
        <v>60932.3</v>
      </c>
      <c r="L52" s="15"/>
      <c r="M52" s="16">
        <f t="shared" si="11"/>
        <v>0</v>
      </c>
    </row>
    <row r="53" spans="1:13" ht="13.5" x14ac:dyDescent="0.2">
      <c r="A53" s="9" t="s">
        <v>24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17486.5</v>
      </c>
      <c r="H53" s="10">
        <v>17486.5</v>
      </c>
      <c r="I53" s="10">
        <v>0</v>
      </c>
      <c r="J53" s="10">
        <v>0</v>
      </c>
      <c r="K53" s="10">
        <f t="shared" si="8"/>
        <v>17486.5</v>
      </c>
      <c r="L53" s="15"/>
      <c r="M53" s="16">
        <f t="shared" si="11"/>
        <v>0</v>
      </c>
    </row>
    <row r="54" spans="1:13" ht="13.5" x14ac:dyDescent="0.2">
      <c r="A54" s="9" t="s">
        <v>25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11051.67</v>
      </c>
      <c r="H54" s="10">
        <v>11051.67</v>
      </c>
      <c r="I54" s="10">
        <v>0</v>
      </c>
      <c r="J54" s="10">
        <v>0</v>
      </c>
      <c r="K54" s="10">
        <f t="shared" si="8"/>
        <v>11051.67</v>
      </c>
      <c r="L54" s="15"/>
      <c r="M54" s="16">
        <f t="shared" si="11"/>
        <v>0</v>
      </c>
    </row>
    <row r="55" spans="1:13" ht="13.5" x14ac:dyDescent="0.2">
      <c r="A55" s="9" t="s">
        <v>29</v>
      </c>
      <c r="B55" s="10">
        <v>0</v>
      </c>
      <c r="C55" s="10">
        <v>0</v>
      </c>
      <c r="D55" s="10">
        <v>0</v>
      </c>
      <c r="E55" s="10">
        <v>0</v>
      </c>
      <c r="F55" s="12">
        <v>0</v>
      </c>
      <c r="G55" s="10">
        <v>148467.66</v>
      </c>
      <c r="H55" s="10">
        <v>158380.9</v>
      </c>
      <c r="I55" s="10"/>
      <c r="J55" s="10">
        <f>2876.27+7036.97</f>
        <v>9913.24</v>
      </c>
      <c r="K55" s="10">
        <f t="shared" si="8"/>
        <v>148467.66</v>
      </c>
      <c r="L55" s="15"/>
      <c r="M55" s="16">
        <f t="shared" si="11"/>
        <v>0</v>
      </c>
    </row>
    <row r="56" spans="1:13" ht="13.5" x14ac:dyDescent="0.2">
      <c r="A56" s="9" t="s">
        <v>30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6199.68</v>
      </c>
      <c r="H56" s="10">
        <v>0</v>
      </c>
      <c r="I56" s="10">
        <v>6199.68</v>
      </c>
      <c r="J56" s="10">
        <v>0</v>
      </c>
      <c r="K56" s="10">
        <f t="shared" si="8"/>
        <v>6199.68</v>
      </c>
      <c r="L56" s="15"/>
      <c r="M56" s="16">
        <f t="shared" si="11"/>
        <v>0</v>
      </c>
    </row>
    <row r="57" spans="1:13" ht="13.5" x14ac:dyDescent="0.2">
      <c r="A57" s="9">
        <v>3001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510.97</v>
      </c>
      <c r="H57" s="10">
        <v>696</v>
      </c>
      <c r="I57" s="10">
        <v>0</v>
      </c>
      <c r="J57" s="10">
        <v>185.03</v>
      </c>
      <c r="K57" s="10">
        <f t="shared" si="8"/>
        <v>510.97</v>
      </c>
      <c r="L57" s="15"/>
      <c r="M57" s="16">
        <f t="shared" si="11"/>
        <v>0</v>
      </c>
    </row>
    <row r="58" spans="1:13" ht="13.5" x14ac:dyDescent="0.2">
      <c r="A58" s="9">
        <v>3002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64791.47</v>
      </c>
      <c r="H58" s="10">
        <v>64920.78</v>
      </c>
      <c r="I58" s="10">
        <v>0</v>
      </c>
      <c r="J58" s="10">
        <v>129.31</v>
      </c>
      <c r="K58" s="10">
        <f t="shared" si="8"/>
        <v>64791.47</v>
      </c>
      <c r="L58" s="15"/>
      <c r="M58" s="16">
        <f t="shared" si="11"/>
        <v>0</v>
      </c>
    </row>
    <row r="59" spans="1:13" ht="13.5" x14ac:dyDescent="0.2">
      <c r="A59" s="9"/>
      <c r="B59" s="10">
        <v>0</v>
      </c>
      <c r="C59" s="10">
        <v>0</v>
      </c>
      <c r="D59" s="10"/>
      <c r="E59" s="10">
        <v>0</v>
      </c>
      <c r="F59" s="12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8"/>
        <v>0</v>
      </c>
      <c r="L59" s="15"/>
      <c r="M59" s="16">
        <f t="shared" si="11"/>
        <v>0</v>
      </c>
    </row>
    <row r="60" spans="1:13" ht="13.5" x14ac:dyDescent="0.2">
      <c r="A60" s="24" t="s">
        <v>37</v>
      </c>
      <c r="B60" s="25">
        <f>SUM(B48:B59)</f>
        <v>0</v>
      </c>
      <c r="C60" s="25">
        <f t="shared" ref="C60:K60" si="13">SUM(C48:C59)</f>
        <v>0</v>
      </c>
      <c r="D60" s="25">
        <f t="shared" si="13"/>
        <v>0</v>
      </c>
      <c r="E60" s="25">
        <f t="shared" si="13"/>
        <v>0</v>
      </c>
      <c r="F60" s="25">
        <f t="shared" si="13"/>
        <v>0</v>
      </c>
      <c r="G60" s="25">
        <f t="shared" si="13"/>
        <v>427398.70999999996</v>
      </c>
      <c r="H60" s="25">
        <f t="shared" si="13"/>
        <v>503182.98</v>
      </c>
      <c r="I60" s="25">
        <f t="shared" si="13"/>
        <v>6384.71</v>
      </c>
      <c r="J60" s="25">
        <f t="shared" si="13"/>
        <v>82168.979999999909</v>
      </c>
      <c r="K60" s="25">
        <f t="shared" si="13"/>
        <v>427398.71000000008</v>
      </c>
      <c r="L60" s="27"/>
      <c r="M60" s="16">
        <f>+K60-G60</f>
        <v>0</v>
      </c>
    </row>
    <row r="61" spans="1:13" ht="13.5" x14ac:dyDescent="0.2">
      <c r="A61" s="9" t="s">
        <v>18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38436.01</v>
      </c>
      <c r="H61" s="10">
        <v>62509.189999999988</v>
      </c>
      <c r="I61" s="10">
        <v>236626.82</v>
      </c>
      <c r="J61" s="10">
        <v>260700</v>
      </c>
      <c r="K61" s="10">
        <f t="shared" si="8"/>
        <v>38436.010000000009</v>
      </c>
      <c r="L61" s="15"/>
      <c r="M61" s="16">
        <f t="shared" si="11"/>
        <v>0</v>
      </c>
    </row>
    <row r="62" spans="1:13" ht="13.5" x14ac:dyDescent="0.2">
      <c r="A62" s="9" t="s">
        <v>20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137672.87</v>
      </c>
      <c r="H62" s="10">
        <v>19069.32</v>
      </c>
      <c r="I62" s="10">
        <v>1797063.97</v>
      </c>
      <c r="J62" s="10">
        <v>1678460.42</v>
      </c>
      <c r="K62" s="10">
        <f t="shared" si="8"/>
        <v>137672.87000000011</v>
      </c>
      <c r="L62" s="15"/>
      <c r="M62" s="16">
        <f t="shared" si="11"/>
        <v>0</v>
      </c>
    </row>
    <row r="63" spans="1:13" ht="13.5" x14ac:dyDescent="0.2">
      <c r="A63" s="9" t="s">
        <v>24</v>
      </c>
      <c r="B63" s="10">
        <v>0</v>
      </c>
      <c r="C63" s="10">
        <v>17884.25</v>
      </c>
      <c r="D63" s="10">
        <f>7.16+6.59</f>
        <v>13.75</v>
      </c>
      <c r="E63" s="10">
        <v>696</v>
      </c>
      <c r="F63" s="12">
        <v>0</v>
      </c>
      <c r="G63" s="10">
        <f>+C63+D63-E63</f>
        <v>17202</v>
      </c>
      <c r="H63" s="10">
        <v>17202</v>
      </c>
      <c r="I63" s="10">
        <v>0</v>
      </c>
      <c r="J63" s="10">
        <v>0</v>
      </c>
      <c r="K63" s="10">
        <f t="shared" si="8"/>
        <v>17202</v>
      </c>
      <c r="L63" s="15"/>
      <c r="M63" s="46">
        <f t="shared" si="11"/>
        <v>0</v>
      </c>
    </row>
    <row r="64" spans="1:13" ht="13.5" x14ac:dyDescent="0.2">
      <c r="A64" s="9" t="s">
        <v>25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18649.8</v>
      </c>
      <c r="H64" s="10">
        <v>40388.06</v>
      </c>
      <c r="I64" s="10">
        <v>100000</v>
      </c>
      <c r="J64" s="10">
        <v>121738.26</v>
      </c>
      <c r="K64" s="10">
        <f t="shared" si="8"/>
        <v>18649.800000000003</v>
      </c>
      <c r="L64" s="15"/>
      <c r="M64" s="16">
        <f t="shared" si="11"/>
        <v>0</v>
      </c>
    </row>
    <row r="65" spans="1:13" ht="13.5" x14ac:dyDescent="0.2">
      <c r="A65" s="9" t="s">
        <v>29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337850.79</v>
      </c>
      <c r="H65" s="10">
        <v>419631.03</v>
      </c>
      <c r="I65" s="10">
        <v>-7.49</v>
      </c>
      <c r="J65" s="10">
        <v>81772.75</v>
      </c>
      <c r="K65" s="10">
        <f t="shared" si="8"/>
        <v>337850.79000000004</v>
      </c>
      <c r="L65" s="15"/>
      <c r="M65" s="16">
        <f t="shared" si="11"/>
        <v>0</v>
      </c>
    </row>
    <row r="66" spans="1:13" ht="13.5" x14ac:dyDescent="0.2">
      <c r="A66" s="9" t="s">
        <v>30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0</v>
      </c>
      <c r="H66" s="10">
        <v>538779.80000000005</v>
      </c>
      <c r="I66" s="10">
        <v>0</v>
      </c>
      <c r="J66" s="10">
        <v>538779.80000000005</v>
      </c>
      <c r="K66" s="10">
        <f t="shared" si="8"/>
        <v>0</v>
      </c>
      <c r="L66" s="15"/>
      <c r="M66" s="16">
        <f t="shared" si="11"/>
        <v>0</v>
      </c>
    </row>
    <row r="67" spans="1:13" ht="13.5" x14ac:dyDescent="0.2">
      <c r="A67" s="9">
        <v>3001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314.99</v>
      </c>
      <c r="H67" s="10">
        <v>315</v>
      </c>
      <c r="I67" s="10">
        <v>0</v>
      </c>
      <c r="J67" s="10">
        <v>0.01</v>
      </c>
      <c r="K67" s="10">
        <f t="shared" si="8"/>
        <v>314.99</v>
      </c>
      <c r="L67" s="15"/>
      <c r="M67" s="16">
        <f t="shared" si="11"/>
        <v>0</v>
      </c>
    </row>
    <row r="68" spans="1:13" ht="13.5" x14ac:dyDescent="0.2">
      <c r="A68" s="9">
        <v>3002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12858.9</v>
      </c>
      <c r="H68" s="10">
        <v>12858.91</v>
      </c>
      <c r="I68" s="10">
        <v>0</v>
      </c>
      <c r="J68" s="10">
        <v>0.01</v>
      </c>
      <c r="K68" s="10">
        <f t="shared" si="8"/>
        <v>12858.9</v>
      </c>
      <c r="L68" s="15"/>
      <c r="M68" s="16">
        <f t="shared" si="11"/>
        <v>0</v>
      </c>
    </row>
    <row r="69" spans="1:13" ht="13.5" x14ac:dyDescent="0.2">
      <c r="A69" s="9"/>
      <c r="B69" s="10">
        <v>0</v>
      </c>
      <c r="C69" s="10">
        <v>0</v>
      </c>
      <c r="D69" s="10"/>
      <c r="E69" s="10">
        <v>0</v>
      </c>
      <c r="F69" s="12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8"/>
        <v>0</v>
      </c>
      <c r="L69" s="15"/>
      <c r="M69" s="16">
        <f t="shared" si="11"/>
        <v>0</v>
      </c>
    </row>
    <row r="70" spans="1:13" ht="13.5" x14ac:dyDescent="0.2">
      <c r="A70" s="24" t="s">
        <v>38</v>
      </c>
      <c r="B70" s="25">
        <f>SUM(B61:B69)</f>
        <v>0</v>
      </c>
      <c r="C70" s="25">
        <f t="shared" ref="C70:K70" si="14">SUM(C61:C69)</f>
        <v>17884.25</v>
      </c>
      <c r="D70" s="25">
        <f t="shared" si="14"/>
        <v>13.75</v>
      </c>
      <c r="E70" s="25">
        <f t="shared" si="14"/>
        <v>696</v>
      </c>
      <c r="F70" s="25">
        <f t="shared" si="14"/>
        <v>0</v>
      </c>
      <c r="G70" s="25">
        <f t="shared" si="14"/>
        <v>562985.36</v>
      </c>
      <c r="H70" s="25">
        <f t="shared" si="14"/>
        <v>1110753.3099999998</v>
      </c>
      <c r="I70" s="25">
        <f t="shared" si="14"/>
        <v>2133683.2999999998</v>
      </c>
      <c r="J70" s="25">
        <f t="shared" si="14"/>
        <v>2681451.2499999991</v>
      </c>
      <c r="K70" s="25">
        <f t="shared" si="14"/>
        <v>562985.36000000022</v>
      </c>
      <c r="L70" s="27"/>
      <c r="M70" s="16">
        <f t="shared" si="11"/>
        <v>0</v>
      </c>
    </row>
    <row r="71" spans="1:13" ht="13.5" x14ac:dyDescent="0.2">
      <c r="A71" s="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70435.27</v>
      </c>
      <c r="H71" s="10">
        <v>27196.65</v>
      </c>
      <c r="I71" s="10">
        <v>1260055.98</v>
      </c>
      <c r="J71" s="10">
        <v>1216817.3599999999</v>
      </c>
      <c r="K71" s="10">
        <f t="shared" si="8"/>
        <v>70435.270000000019</v>
      </c>
      <c r="L71" s="15"/>
      <c r="M71" s="16">
        <f t="shared" si="11"/>
        <v>0</v>
      </c>
    </row>
    <row r="72" spans="1:13" ht="13.5" x14ac:dyDescent="0.2">
      <c r="A72" s="9" t="s">
        <v>36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-10</v>
      </c>
      <c r="H72" s="10">
        <v>-10</v>
      </c>
      <c r="I72" s="10">
        <v>0</v>
      </c>
      <c r="J72" s="10">
        <v>0</v>
      </c>
      <c r="K72" s="10">
        <f t="shared" si="8"/>
        <v>-10</v>
      </c>
      <c r="L72" s="15"/>
      <c r="M72" s="16">
        <f t="shared" si="11"/>
        <v>0</v>
      </c>
    </row>
    <row r="73" spans="1:13" ht="13.5" x14ac:dyDescent="0.2">
      <c r="A73" s="9" t="s">
        <v>20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10409.09</v>
      </c>
      <c r="H73" s="10">
        <v>8124.4500000000007</v>
      </c>
      <c r="I73" s="10">
        <v>1364164.99</v>
      </c>
      <c r="J73" s="10">
        <v>1361880.35</v>
      </c>
      <c r="K73" s="10">
        <f t="shared" si="8"/>
        <v>10409.089999999851</v>
      </c>
      <c r="L73" s="15"/>
      <c r="M73" s="16">
        <f t="shared" si="11"/>
        <v>-1.4915713109076023E-10</v>
      </c>
    </row>
    <row r="74" spans="1:13" ht="13.5" x14ac:dyDescent="0.2">
      <c r="A74" s="9" t="s">
        <v>24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1150.8900000000001</v>
      </c>
      <c r="H74" s="10">
        <v>42631.81</v>
      </c>
      <c r="I74" s="10">
        <v>412765.08</v>
      </c>
      <c r="J74" s="10">
        <v>454246</v>
      </c>
      <c r="K74" s="10">
        <f t="shared" si="8"/>
        <v>1150.890000000014</v>
      </c>
      <c r="L74" s="15"/>
      <c r="M74" s="16">
        <f t="shared" si="11"/>
        <v>1.3869794202037156E-11</v>
      </c>
    </row>
    <row r="75" spans="1:13" ht="13.5" x14ac:dyDescent="0.2">
      <c r="A75" s="9" t="s">
        <v>25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-1415.64</v>
      </c>
      <c r="H75" s="10">
        <v>719.87</v>
      </c>
      <c r="I75" s="10">
        <v>17662.490000000002</v>
      </c>
      <c r="J75" s="10">
        <v>19798</v>
      </c>
      <c r="K75" s="10">
        <f t="shared" si="8"/>
        <v>-1415.6399999999994</v>
      </c>
      <c r="L75" s="15"/>
      <c r="M75" s="16">
        <f t="shared" si="11"/>
        <v>0</v>
      </c>
    </row>
    <row r="76" spans="1:13" ht="13.5" x14ac:dyDescent="0.2">
      <c r="A76" s="9" t="s">
        <v>27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267528.84000000003</v>
      </c>
      <c r="H76" s="10">
        <v>0</v>
      </c>
      <c r="I76" s="10">
        <v>267528.84000000003</v>
      </c>
      <c r="J76" s="10">
        <v>0</v>
      </c>
      <c r="K76" s="10">
        <f t="shared" si="8"/>
        <v>267528.84000000003</v>
      </c>
      <c r="L76" s="15"/>
      <c r="M76" s="16">
        <f t="shared" si="11"/>
        <v>0</v>
      </c>
    </row>
    <row r="77" spans="1:13" ht="13.5" x14ac:dyDescent="0.2">
      <c r="A77" s="9" t="s">
        <v>29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238880.59</v>
      </c>
      <c r="H77" s="10">
        <v>286118.3</v>
      </c>
      <c r="I77" s="10">
        <v>98358.74</v>
      </c>
      <c r="J77" s="10">
        <v>145596.44999999998</v>
      </c>
      <c r="K77" s="10">
        <f t="shared" si="8"/>
        <v>238880.59</v>
      </c>
      <c r="L77" s="15"/>
      <c r="M77" s="16">
        <f t="shared" si="11"/>
        <v>0</v>
      </c>
    </row>
    <row r="78" spans="1:13" ht="13.5" x14ac:dyDescent="0.2">
      <c r="A78" s="9" t="s">
        <v>30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8"/>
        <v>0</v>
      </c>
      <c r="L78" s="15"/>
      <c r="M78" s="16">
        <f t="shared" si="11"/>
        <v>0</v>
      </c>
    </row>
    <row r="79" spans="1:13" ht="13.5" x14ac:dyDescent="0.2">
      <c r="A79" s="9"/>
      <c r="B79" s="10">
        <v>0</v>
      </c>
      <c r="C79" s="10">
        <v>0</v>
      </c>
      <c r="D79" s="10"/>
      <c r="E79" s="10">
        <v>0</v>
      </c>
      <c r="F79" s="12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8"/>
        <v>0</v>
      </c>
      <c r="L79" s="15"/>
      <c r="M79" s="16">
        <f t="shared" si="11"/>
        <v>0</v>
      </c>
    </row>
    <row r="80" spans="1:13" ht="13.5" x14ac:dyDescent="0.2">
      <c r="A80" s="24" t="s">
        <v>39</v>
      </c>
      <c r="B80" s="25">
        <f>SUM(B71:B79)</f>
        <v>0</v>
      </c>
      <c r="C80" s="25">
        <f t="shared" ref="C80:K80" si="15">SUM(C71:C79)</f>
        <v>0</v>
      </c>
      <c r="D80" s="25">
        <f t="shared" si="15"/>
        <v>0</v>
      </c>
      <c r="E80" s="25">
        <f t="shared" si="15"/>
        <v>0</v>
      </c>
      <c r="F80" s="25">
        <f t="shared" si="15"/>
        <v>0</v>
      </c>
      <c r="G80" s="25">
        <f t="shared" si="15"/>
        <v>586979.04</v>
      </c>
      <c r="H80" s="25">
        <f t="shared" si="15"/>
        <v>364781.07999999996</v>
      </c>
      <c r="I80" s="25">
        <f t="shared" si="15"/>
        <v>3420536.12</v>
      </c>
      <c r="J80" s="25">
        <f t="shared" si="15"/>
        <v>3198338.16</v>
      </c>
      <c r="K80" s="25">
        <f t="shared" si="15"/>
        <v>586979.03999999992</v>
      </c>
      <c r="L80" s="27"/>
      <c r="M80" s="16">
        <f t="shared" si="11"/>
        <v>0</v>
      </c>
    </row>
    <row r="81" spans="1:13" ht="13.5" x14ac:dyDescent="0.2">
      <c r="A81" s="9" t="s">
        <v>18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1852.17</v>
      </c>
      <c r="H81" s="10">
        <v>21852.97</v>
      </c>
      <c r="I81" s="10">
        <v>0</v>
      </c>
      <c r="J81" s="10">
        <v>20000.8</v>
      </c>
      <c r="K81" s="10">
        <f t="shared" si="8"/>
        <v>1852.1700000000019</v>
      </c>
      <c r="L81" s="15"/>
      <c r="M81" s="16">
        <f t="shared" si="11"/>
        <v>1.8189894035458565E-12</v>
      </c>
    </row>
    <row r="82" spans="1:13" ht="13.5" x14ac:dyDescent="0.2">
      <c r="A82" s="9" t="s">
        <v>24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43212.38</v>
      </c>
      <c r="H82" s="10">
        <v>43212.38</v>
      </c>
      <c r="I82" s="10">
        <v>0</v>
      </c>
      <c r="J82" s="10">
        <v>0</v>
      </c>
      <c r="K82" s="10">
        <f t="shared" si="8"/>
        <v>43212.38</v>
      </c>
      <c r="L82" s="15"/>
      <c r="M82" s="16">
        <f t="shared" si="11"/>
        <v>0</v>
      </c>
    </row>
    <row r="83" spans="1:13" ht="13.5" x14ac:dyDescent="0.2">
      <c r="A83" s="9" t="s">
        <v>25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1625.34</v>
      </c>
      <c r="H83" s="10">
        <v>8443.23</v>
      </c>
      <c r="I83" s="10">
        <v>10845.58</v>
      </c>
      <c r="J83" s="10">
        <v>17663.47</v>
      </c>
      <c r="K83" s="10">
        <f t="shared" si="8"/>
        <v>1625.3399999999965</v>
      </c>
      <c r="L83" s="15"/>
      <c r="M83" s="16">
        <f t="shared" si="11"/>
        <v>-3.4106051316484809E-12</v>
      </c>
    </row>
    <row r="84" spans="1:13" ht="13.5" x14ac:dyDescent="0.2">
      <c r="A84" s="9" t="s">
        <v>26</v>
      </c>
      <c r="B84" s="10">
        <v>0</v>
      </c>
      <c r="C84" s="10">
        <v>0</v>
      </c>
      <c r="D84" s="10"/>
      <c r="E84" s="10">
        <v>0</v>
      </c>
      <c r="F84" s="12">
        <v>0</v>
      </c>
      <c r="G84" s="10">
        <v>20682.669999999998</v>
      </c>
      <c r="H84" s="10">
        <v>0</v>
      </c>
      <c r="I84" s="10">
        <v>20682.669999999998</v>
      </c>
      <c r="J84" s="10">
        <v>0</v>
      </c>
      <c r="K84" s="10">
        <f t="shared" si="8"/>
        <v>20682.669999999998</v>
      </c>
      <c r="L84" s="15"/>
      <c r="M84" s="16">
        <f t="shared" si="11"/>
        <v>0</v>
      </c>
    </row>
    <row r="85" spans="1:13" ht="13.5" x14ac:dyDescent="0.2">
      <c r="A85" s="9" t="s">
        <v>29</v>
      </c>
      <c r="B85" s="10">
        <v>0</v>
      </c>
      <c r="C85" s="10">
        <v>0</v>
      </c>
      <c r="D85" s="10"/>
      <c r="E85" s="10">
        <v>0</v>
      </c>
      <c r="F85" s="12">
        <v>0</v>
      </c>
      <c r="G85" s="10">
        <v>74081.95</v>
      </c>
      <c r="H85" s="10">
        <v>79147.360000000001</v>
      </c>
      <c r="I85" s="10">
        <v>0</v>
      </c>
      <c r="J85" s="10">
        <v>5065.41</v>
      </c>
      <c r="K85" s="10">
        <f t="shared" si="8"/>
        <v>74081.95</v>
      </c>
      <c r="L85" s="15"/>
      <c r="M85" s="16">
        <f t="shared" si="11"/>
        <v>0</v>
      </c>
    </row>
    <row r="86" spans="1:13" ht="13.5" x14ac:dyDescent="0.2">
      <c r="A86" s="9" t="s">
        <v>30</v>
      </c>
      <c r="B86" s="10">
        <v>0</v>
      </c>
      <c r="C86" s="10">
        <v>0</v>
      </c>
      <c r="D86" s="10"/>
      <c r="E86" s="10">
        <v>0</v>
      </c>
      <c r="F86" s="12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8"/>
        <v>0</v>
      </c>
      <c r="L86" s="15"/>
      <c r="M86" s="16">
        <f t="shared" si="11"/>
        <v>0</v>
      </c>
    </row>
    <row r="87" spans="1:13" ht="13.5" x14ac:dyDescent="0.2">
      <c r="A87" s="9"/>
      <c r="B87" s="10">
        <v>0</v>
      </c>
      <c r="C87" s="10">
        <v>0</v>
      </c>
      <c r="D87" s="10"/>
      <c r="E87" s="10">
        <v>0</v>
      </c>
      <c r="F87" s="12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ref="K87:K95" si="16">H87+I87-J87</f>
        <v>0</v>
      </c>
      <c r="L87" s="15"/>
      <c r="M87" s="16">
        <f t="shared" si="11"/>
        <v>0</v>
      </c>
    </row>
    <row r="88" spans="1:13" ht="13.5" x14ac:dyDescent="0.2">
      <c r="A88" s="24" t="s">
        <v>40</v>
      </c>
      <c r="B88" s="25">
        <f>SUM(B81:B87)</f>
        <v>0</v>
      </c>
      <c r="C88" s="25">
        <f t="shared" ref="C88:K88" si="17">SUM(C81:C87)</f>
        <v>0</v>
      </c>
      <c r="D88" s="25">
        <f t="shared" si="17"/>
        <v>0</v>
      </c>
      <c r="E88" s="25">
        <f t="shared" si="17"/>
        <v>0</v>
      </c>
      <c r="F88" s="25">
        <f t="shared" si="17"/>
        <v>0</v>
      </c>
      <c r="G88" s="25">
        <f t="shared" si="17"/>
        <v>141454.51</v>
      </c>
      <c r="H88" s="25">
        <f t="shared" si="17"/>
        <v>152655.94</v>
      </c>
      <c r="I88" s="25">
        <f t="shared" si="17"/>
        <v>31528.25</v>
      </c>
      <c r="J88" s="25">
        <f t="shared" si="17"/>
        <v>42729.680000000008</v>
      </c>
      <c r="K88" s="25">
        <f t="shared" si="17"/>
        <v>141454.51</v>
      </c>
      <c r="L88" s="27"/>
      <c r="M88" s="16">
        <f t="shared" si="11"/>
        <v>0</v>
      </c>
    </row>
    <row r="89" spans="1:13" ht="13.5" x14ac:dyDescent="0.2">
      <c r="A89" s="9" t="s">
        <v>36</v>
      </c>
      <c r="B89" s="10">
        <v>0</v>
      </c>
      <c r="C89" s="10">
        <v>0</v>
      </c>
      <c r="D89" s="10"/>
      <c r="E89" s="10">
        <v>0</v>
      </c>
      <c r="F89" s="12">
        <v>0</v>
      </c>
      <c r="G89" s="10">
        <v>12193</v>
      </c>
      <c r="H89" s="10">
        <v>13553.029999999999</v>
      </c>
      <c r="I89" s="10">
        <v>0</v>
      </c>
      <c r="J89" s="10">
        <v>1360.03</v>
      </c>
      <c r="K89" s="10">
        <f t="shared" si="16"/>
        <v>12192.999999999998</v>
      </c>
      <c r="L89" s="15"/>
      <c r="M89" s="16">
        <f t="shared" si="11"/>
        <v>0</v>
      </c>
    </row>
    <row r="90" spans="1:13" ht="13.5" x14ac:dyDescent="0.2">
      <c r="A90" s="9" t="s">
        <v>29</v>
      </c>
      <c r="B90" s="10">
        <v>0</v>
      </c>
      <c r="C90" s="10">
        <v>0</v>
      </c>
      <c r="D90" s="10"/>
      <c r="E90" s="10">
        <v>0</v>
      </c>
      <c r="F90" s="12">
        <v>0</v>
      </c>
      <c r="G90" s="10">
        <v>7163.64</v>
      </c>
      <c r="H90" s="10">
        <v>6216.71</v>
      </c>
      <c r="I90" s="10">
        <v>4500</v>
      </c>
      <c r="J90" s="10">
        <v>3553.0699999999997</v>
      </c>
      <c r="K90" s="10">
        <f t="shared" si="16"/>
        <v>7163.6399999999994</v>
      </c>
      <c r="L90" s="15"/>
      <c r="M90" s="16">
        <f t="shared" si="11"/>
        <v>0</v>
      </c>
    </row>
    <row r="91" spans="1:13" ht="13.5" x14ac:dyDescent="0.2">
      <c r="A91" s="9"/>
      <c r="B91" s="10">
        <v>0</v>
      </c>
      <c r="C91" s="10">
        <v>0</v>
      </c>
      <c r="D91" s="10"/>
      <c r="E91" s="10">
        <v>0</v>
      </c>
      <c r="F91" s="12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6"/>
        <v>0</v>
      </c>
      <c r="L91" s="15"/>
      <c r="M91" s="16">
        <f t="shared" si="11"/>
        <v>0</v>
      </c>
    </row>
    <row r="92" spans="1:13" ht="13.5" x14ac:dyDescent="0.2">
      <c r="A92" s="24" t="s">
        <v>41</v>
      </c>
      <c r="B92" s="25">
        <f>+B89+B90+B91</f>
        <v>0</v>
      </c>
      <c r="C92" s="25">
        <f t="shared" ref="C92:K92" si="18">+C89+C90+C91</f>
        <v>0</v>
      </c>
      <c r="D92" s="25">
        <f t="shared" si="18"/>
        <v>0</v>
      </c>
      <c r="E92" s="25">
        <f t="shared" si="18"/>
        <v>0</v>
      </c>
      <c r="F92" s="25">
        <f t="shared" si="18"/>
        <v>0</v>
      </c>
      <c r="G92" s="25">
        <f t="shared" si="18"/>
        <v>19356.64</v>
      </c>
      <c r="H92" s="25">
        <f t="shared" si="18"/>
        <v>19769.739999999998</v>
      </c>
      <c r="I92" s="25">
        <f t="shared" si="18"/>
        <v>4500</v>
      </c>
      <c r="J92" s="25">
        <f t="shared" si="18"/>
        <v>4913.0999999999995</v>
      </c>
      <c r="K92" s="25">
        <f t="shared" si="18"/>
        <v>19356.64</v>
      </c>
      <c r="L92" s="27"/>
      <c r="M92" s="16">
        <f t="shared" si="11"/>
        <v>0</v>
      </c>
    </row>
    <row r="93" spans="1:13" ht="13.5" x14ac:dyDescent="0.2">
      <c r="A93" s="9" t="s">
        <v>36</v>
      </c>
      <c r="B93" s="10">
        <v>0</v>
      </c>
      <c r="C93" s="10">
        <v>0</v>
      </c>
      <c r="D93" s="10"/>
      <c r="E93" s="10">
        <v>0</v>
      </c>
      <c r="F93" s="12">
        <v>0</v>
      </c>
      <c r="G93" s="10">
        <v>4081.54</v>
      </c>
      <c r="H93" s="10">
        <v>4081.54</v>
      </c>
      <c r="I93" s="10">
        <v>0</v>
      </c>
      <c r="J93" s="10">
        <v>0</v>
      </c>
      <c r="K93" s="10">
        <f t="shared" si="16"/>
        <v>4081.54</v>
      </c>
      <c r="L93" s="15"/>
      <c r="M93" s="16">
        <f t="shared" si="11"/>
        <v>0</v>
      </c>
    </row>
    <row r="94" spans="1:13" ht="13.5" x14ac:dyDescent="0.2">
      <c r="A94" s="9" t="s">
        <v>29</v>
      </c>
      <c r="B94" s="10">
        <v>0</v>
      </c>
      <c r="C94" s="10">
        <v>0</v>
      </c>
      <c r="D94" s="10"/>
      <c r="E94" s="10">
        <v>0</v>
      </c>
      <c r="F94" s="12">
        <v>0</v>
      </c>
      <c r="G94" s="10">
        <v>28063.68</v>
      </c>
      <c r="H94" s="10">
        <v>2763.68</v>
      </c>
      <c r="I94" s="10">
        <v>25300</v>
      </c>
      <c r="J94" s="10">
        <v>0</v>
      </c>
      <c r="K94" s="10">
        <f t="shared" si="16"/>
        <v>28063.68</v>
      </c>
      <c r="L94" s="15"/>
      <c r="M94" s="16">
        <f t="shared" si="11"/>
        <v>0</v>
      </c>
    </row>
    <row r="95" spans="1:13" ht="13.5" x14ac:dyDescent="0.2">
      <c r="A95" s="9"/>
      <c r="B95" s="10">
        <v>0</v>
      </c>
      <c r="C95" s="10">
        <v>0</v>
      </c>
      <c r="D95" s="10"/>
      <c r="E95" s="10">
        <v>0</v>
      </c>
      <c r="F95" s="12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6"/>
        <v>0</v>
      </c>
      <c r="L95" s="15"/>
      <c r="M95" s="16">
        <f t="shared" si="11"/>
        <v>0</v>
      </c>
    </row>
    <row r="96" spans="1:13" ht="13.5" x14ac:dyDescent="0.2">
      <c r="A96" s="24" t="s">
        <v>42</v>
      </c>
      <c r="B96" s="25">
        <f>+B93+B94+B95</f>
        <v>0</v>
      </c>
      <c r="C96" s="25">
        <f t="shared" ref="C96:K96" si="19">+C93+C94+C95</f>
        <v>0</v>
      </c>
      <c r="D96" s="25">
        <f t="shared" si="19"/>
        <v>0</v>
      </c>
      <c r="E96" s="25">
        <f t="shared" si="19"/>
        <v>0</v>
      </c>
      <c r="F96" s="25">
        <f t="shared" si="19"/>
        <v>0</v>
      </c>
      <c r="G96" s="25">
        <f t="shared" si="19"/>
        <v>32145.22</v>
      </c>
      <c r="H96" s="25">
        <f t="shared" si="19"/>
        <v>6845.2199999999993</v>
      </c>
      <c r="I96" s="25">
        <f t="shared" si="19"/>
        <v>25300</v>
      </c>
      <c r="J96" s="25">
        <f t="shared" si="19"/>
        <v>0</v>
      </c>
      <c r="K96" s="25">
        <f t="shared" si="19"/>
        <v>32145.22</v>
      </c>
      <c r="L96" s="27"/>
      <c r="M96" s="16">
        <f t="shared" si="11"/>
        <v>0</v>
      </c>
    </row>
    <row r="97" spans="1:13" ht="13.5" x14ac:dyDescent="0.2">
      <c r="A97" s="9"/>
      <c r="B97" s="10">
        <v>0</v>
      </c>
      <c r="C97" s="10">
        <v>0</v>
      </c>
      <c r="D97" s="10"/>
      <c r="E97" s="10">
        <v>0</v>
      </c>
      <c r="F97" s="12">
        <v>0</v>
      </c>
      <c r="G97" s="10">
        <v>0</v>
      </c>
      <c r="H97" s="10">
        <v>0</v>
      </c>
      <c r="I97" s="10">
        <v>0</v>
      </c>
      <c r="J97" s="10">
        <v>0</v>
      </c>
      <c r="K97" s="10">
        <f>H97+I97-J97</f>
        <v>0</v>
      </c>
      <c r="L97" s="15"/>
      <c r="M97" s="16">
        <f t="shared" si="11"/>
        <v>0</v>
      </c>
    </row>
    <row r="98" spans="1:13" ht="27" x14ac:dyDescent="0.2">
      <c r="A98" s="24" t="s">
        <v>43</v>
      </c>
      <c r="B98" s="25">
        <f t="shared" ref="B98:K98" si="20">+B96+B92+B88+B80+B70+B60+B47+B39</f>
        <v>69366749.510000005</v>
      </c>
      <c r="C98" s="25">
        <f t="shared" si="20"/>
        <v>71257834.760000005</v>
      </c>
      <c r="D98" s="25">
        <f t="shared" si="20"/>
        <v>156411.28</v>
      </c>
      <c r="E98" s="25">
        <f t="shared" si="20"/>
        <v>63007332.109999999</v>
      </c>
      <c r="F98" s="25">
        <f t="shared" si="20"/>
        <v>0.88635418134499522</v>
      </c>
      <c r="G98" s="25">
        <f t="shared" si="20"/>
        <v>12969478.749999998</v>
      </c>
      <c r="H98" s="25">
        <f t="shared" si="20"/>
        <v>14843603.800000001</v>
      </c>
      <c r="I98" s="25">
        <f t="shared" si="20"/>
        <v>6140031.1299999999</v>
      </c>
      <c r="J98" s="25">
        <f t="shared" si="20"/>
        <v>8014160.1799999988</v>
      </c>
      <c r="K98" s="25">
        <f t="shared" si="20"/>
        <v>12969474.75</v>
      </c>
      <c r="L98" s="27"/>
      <c r="M98" s="16">
        <f t="shared" si="11"/>
        <v>-3.9999999981373549</v>
      </c>
    </row>
    <row r="99" spans="1:13" ht="13.5" x14ac:dyDescent="0.2">
      <c r="A99" s="9"/>
      <c r="B99" s="10">
        <v>0</v>
      </c>
      <c r="C99" s="10">
        <v>0</v>
      </c>
      <c r="D99" s="10"/>
      <c r="E99" s="10">
        <v>0</v>
      </c>
      <c r="F99" s="12">
        <v>0</v>
      </c>
      <c r="G99" s="10">
        <v>0</v>
      </c>
      <c r="H99" s="10">
        <v>0</v>
      </c>
      <c r="I99" s="10">
        <v>0</v>
      </c>
      <c r="J99" s="10">
        <v>0</v>
      </c>
      <c r="K99" s="10">
        <f>H99+I99-J99</f>
        <v>0</v>
      </c>
      <c r="L99" s="15"/>
      <c r="M99" s="16">
        <f>+K99-G99</f>
        <v>0</v>
      </c>
    </row>
    <row r="100" spans="1:13" ht="13.5" x14ac:dyDescent="0.2">
      <c r="A100" s="24" t="s">
        <v>44</v>
      </c>
      <c r="B100" s="25">
        <f>+B98+B21</f>
        <v>124237299.89</v>
      </c>
      <c r="C100" s="25">
        <f t="shared" ref="C100:K100" si="21">+C98+C21</f>
        <v>98333462.909999996</v>
      </c>
      <c r="D100" s="25">
        <f t="shared" si="21"/>
        <v>156411.28</v>
      </c>
      <c r="E100" s="25">
        <f t="shared" si="21"/>
        <v>73590968.019999996</v>
      </c>
      <c r="F100" s="25">
        <f t="shared" si="21"/>
        <v>3.102546506020071</v>
      </c>
      <c r="G100" s="25">
        <f t="shared" si="21"/>
        <v>29461470.989999995</v>
      </c>
      <c r="H100" s="25">
        <f t="shared" si="21"/>
        <v>29165890.25</v>
      </c>
      <c r="I100" s="25">
        <f t="shared" si="21"/>
        <v>6478140.0999999996</v>
      </c>
      <c r="J100" s="25">
        <f t="shared" si="21"/>
        <v>8516368.5199999996</v>
      </c>
      <c r="K100" s="25">
        <f t="shared" si="21"/>
        <v>27127661.829999998</v>
      </c>
      <c r="L100" s="27"/>
    </row>
    <row r="101" spans="1:13" ht="13.5" x14ac:dyDescent="0.25">
      <c r="A101" s="28"/>
      <c r="B101" s="29"/>
      <c r="C101" s="29"/>
      <c r="D101" s="29"/>
      <c r="E101" s="28"/>
      <c r="F101" s="28"/>
      <c r="G101" s="28"/>
      <c r="H101" s="28"/>
      <c r="I101" s="28"/>
      <c r="J101" s="28"/>
      <c r="K101" s="28"/>
      <c r="L101" s="30"/>
    </row>
    <row r="102" spans="1:13" x14ac:dyDescent="0.2">
      <c r="A102" s="19"/>
      <c r="B102" s="19"/>
      <c r="C102" s="333" t="s">
        <v>45</v>
      </c>
      <c r="D102" s="333"/>
      <c r="E102" s="333"/>
      <c r="F102" s="333"/>
      <c r="G102" s="333"/>
      <c r="H102" s="333"/>
      <c r="I102" s="333"/>
      <c r="J102" s="19"/>
      <c r="K102" s="19"/>
      <c r="L102" s="19"/>
    </row>
    <row r="103" spans="1:13" x14ac:dyDescent="0.2">
      <c r="A103" s="19"/>
      <c r="B103" s="19"/>
      <c r="C103" s="73"/>
      <c r="D103" s="73"/>
      <c r="E103" s="73"/>
      <c r="F103" s="73"/>
      <c r="G103" s="73"/>
      <c r="H103" s="73"/>
      <c r="I103" s="73"/>
      <c r="J103" s="19"/>
      <c r="K103" s="19"/>
      <c r="L103" s="19"/>
    </row>
    <row r="104" spans="1:13" ht="13.5" x14ac:dyDescent="0.25">
      <c r="A104" s="19"/>
      <c r="B104" s="325" t="s">
        <v>46</v>
      </c>
      <c r="C104" s="325"/>
      <c r="D104" s="326" t="s">
        <v>47</v>
      </c>
      <c r="E104" s="327"/>
      <c r="F104" s="328"/>
      <c r="G104" s="320" t="s">
        <v>48</v>
      </c>
      <c r="H104" s="320"/>
      <c r="I104" s="76" t="s">
        <v>10</v>
      </c>
      <c r="J104" s="19"/>
      <c r="K104" s="19"/>
      <c r="L104" s="19"/>
    </row>
    <row r="105" spans="1:13" ht="13.5" x14ac:dyDescent="0.25">
      <c r="A105" s="19"/>
      <c r="B105" s="329" t="s">
        <v>49</v>
      </c>
      <c r="C105" s="329"/>
      <c r="D105" s="330">
        <v>8135543</v>
      </c>
      <c r="E105" s="331"/>
      <c r="F105" s="332">
        <v>0</v>
      </c>
      <c r="G105" s="330">
        <v>2004169</v>
      </c>
      <c r="H105" s="332"/>
      <c r="I105" s="33">
        <f>G105/D105</f>
        <v>0.2463472935979811</v>
      </c>
      <c r="J105" s="19"/>
      <c r="K105" s="19"/>
      <c r="L105" s="19"/>
    </row>
    <row r="106" spans="1:13" ht="13.5" x14ac:dyDescent="0.25">
      <c r="A106" s="19"/>
      <c r="B106" s="320"/>
      <c r="C106" s="320"/>
      <c r="D106" s="321"/>
      <c r="E106" s="322"/>
      <c r="F106" s="323"/>
      <c r="G106" s="324"/>
      <c r="H106" s="324"/>
      <c r="I106" s="77"/>
      <c r="J106" s="19"/>
      <c r="K106" s="19"/>
      <c r="L106" s="19"/>
    </row>
    <row r="107" spans="1:13" ht="13.5" x14ac:dyDescent="0.25">
      <c r="A107" s="19"/>
      <c r="B107" s="320"/>
      <c r="C107" s="320"/>
      <c r="D107" s="321"/>
      <c r="E107" s="322"/>
      <c r="F107" s="323"/>
      <c r="G107" s="324"/>
      <c r="H107" s="324"/>
      <c r="I107" s="77"/>
      <c r="J107" s="19"/>
      <c r="K107" s="19"/>
      <c r="L107" s="19"/>
    </row>
    <row r="108" spans="1:13" ht="13.5" x14ac:dyDescent="0.25">
      <c r="A108" s="19"/>
      <c r="B108" s="320"/>
      <c r="C108" s="320"/>
      <c r="D108" s="321"/>
      <c r="E108" s="322"/>
      <c r="F108" s="323"/>
      <c r="G108" s="324"/>
      <c r="H108" s="324"/>
      <c r="I108" s="77"/>
      <c r="J108" s="19"/>
      <c r="K108" s="19"/>
      <c r="L108" s="19"/>
    </row>
    <row r="109" spans="1:13" ht="13.5" x14ac:dyDescent="0.25">
      <c r="A109" s="35" t="s">
        <v>50</v>
      </c>
      <c r="B109" s="36"/>
      <c r="C109" s="36"/>
      <c r="D109" s="36"/>
      <c r="E109" s="36"/>
      <c r="F109" s="36"/>
      <c r="G109" s="37"/>
      <c r="H109" s="37"/>
      <c r="I109" s="38"/>
      <c r="J109" s="19"/>
      <c r="K109" s="19"/>
      <c r="L109" s="19"/>
    </row>
  </sheetData>
  <mergeCells count="31">
    <mergeCell ref="B108:C108"/>
    <mergeCell ref="D108:F108"/>
    <mergeCell ref="G108:H108"/>
    <mergeCell ref="B106:C106"/>
    <mergeCell ref="D106:F106"/>
    <mergeCell ref="G106:H106"/>
    <mergeCell ref="B107:C107"/>
    <mergeCell ref="D107:F107"/>
    <mergeCell ref="G107:H107"/>
    <mergeCell ref="B104:C104"/>
    <mergeCell ref="D104:F104"/>
    <mergeCell ref="G104:H104"/>
    <mergeCell ref="B105:C105"/>
    <mergeCell ref="D105:F105"/>
    <mergeCell ref="G105:H105"/>
    <mergeCell ref="C102:I102"/>
    <mergeCell ref="A1:L1"/>
    <mergeCell ref="A3:L3"/>
    <mergeCell ref="C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109"/>
  <sheetViews>
    <sheetView zoomScale="120" zoomScaleNormal="12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XFD1048576"/>
    </sheetView>
  </sheetViews>
  <sheetFormatPr baseColWidth="10" defaultColWidth="16.5703125" defaultRowHeight="12.75" x14ac:dyDescent="0.2"/>
  <cols>
    <col min="1" max="1" width="16.5703125" style="1" customWidth="1"/>
    <col min="2" max="5" width="12.7109375" style="1" customWidth="1"/>
    <col min="6" max="6" width="6.5703125" style="1" bestFit="1" customWidth="1"/>
    <col min="7" max="11" width="12.7109375" style="1" customWidth="1"/>
    <col min="12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4" ht="15.75" x14ac:dyDescent="0.25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5.75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ht="15.75" x14ac:dyDescent="0.25">
      <c r="A4" s="3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4" ht="15.75" x14ac:dyDescent="0.25">
      <c r="A5" s="3" t="s">
        <v>2</v>
      </c>
      <c r="B5" s="5"/>
      <c r="C5" s="5"/>
      <c r="D5" s="5"/>
      <c r="E5" s="6"/>
      <c r="F5" s="6"/>
      <c r="G5" s="6"/>
    </row>
    <row r="6" spans="1:14" ht="13.5" x14ac:dyDescent="0.25">
      <c r="C6" s="335" t="s">
        <v>3</v>
      </c>
      <c r="D6" s="335"/>
      <c r="E6" s="336"/>
      <c r="F6" s="336"/>
      <c r="G6" s="336"/>
      <c r="H6" s="335" t="s">
        <v>4</v>
      </c>
      <c r="I6" s="335"/>
      <c r="J6" s="335"/>
      <c r="K6" s="335"/>
    </row>
    <row r="7" spans="1:14" ht="13.5" x14ac:dyDescent="0.25">
      <c r="A7" s="337" t="s">
        <v>5</v>
      </c>
      <c r="B7" s="339" t="s">
        <v>6</v>
      </c>
      <c r="C7" s="339" t="s">
        <v>7</v>
      </c>
      <c r="D7" s="339" t="s">
        <v>8</v>
      </c>
      <c r="E7" s="340" t="s">
        <v>9</v>
      </c>
      <c r="F7" s="340" t="s">
        <v>10</v>
      </c>
      <c r="G7" s="337" t="s">
        <v>11</v>
      </c>
      <c r="H7" s="340" t="s">
        <v>12</v>
      </c>
      <c r="I7" s="340" t="s">
        <v>13</v>
      </c>
      <c r="J7" s="340" t="s">
        <v>14</v>
      </c>
      <c r="K7" s="340" t="s">
        <v>15</v>
      </c>
      <c r="L7" s="42" t="s">
        <v>16</v>
      </c>
    </row>
    <row r="8" spans="1:14" ht="13.5" x14ac:dyDescent="0.2">
      <c r="A8" s="338"/>
      <c r="B8" s="339"/>
      <c r="C8" s="339"/>
      <c r="D8" s="339"/>
      <c r="E8" s="340"/>
      <c r="F8" s="340"/>
      <c r="G8" s="338"/>
      <c r="H8" s="340"/>
      <c r="I8" s="340"/>
      <c r="J8" s="340"/>
      <c r="K8" s="340"/>
      <c r="L8" s="8" t="s">
        <v>17</v>
      </c>
    </row>
    <row r="9" spans="1:14" s="17" customFormat="1" ht="13.5" x14ac:dyDescent="0.25">
      <c r="A9" s="9" t="s">
        <v>18</v>
      </c>
      <c r="B9" s="10">
        <v>10284399.08</v>
      </c>
      <c r="C9" s="10">
        <v>4241319.95</v>
      </c>
      <c r="D9" s="11">
        <v>0</v>
      </c>
      <c r="E9" s="10">
        <v>1326848.48</v>
      </c>
      <c r="F9" s="12">
        <f>+E9/C9</f>
        <v>0.31283857281269239</v>
      </c>
      <c r="G9" s="10">
        <f t="shared" ref="G9:G20" si="0">+C9+D9-E9</f>
        <v>2914471.47</v>
      </c>
      <c r="H9" s="13">
        <f>191969.3+2623092.4</f>
        <v>2815061.6999999997</v>
      </c>
      <c r="I9" s="14">
        <f>129996.6+17400</f>
        <v>147396.6</v>
      </c>
      <c r="J9" s="14">
        <f>4429+43557.83</f>
        <v>47986.83</v>
      </c>
      <c r="K9" s="14">
        <f>H9+I9-J9</f>
        <v>2914471.4699999997</v>
      </c>
      <c r="L9" s="15">
        <f>+F9</f>
        <v>0.31283857281269239</v>
      </c>
      <c r="M9" s="46">
        <f>+K9-G9</f>
        <v>0</v>
      </c>
      <c r="N9" s="16"/>
    </row>
    <row r="10" spans="1:14" ht="13.5" x14ac:dyDescent="0.2">
      <c r="A10" s="9" t="s">
        <v>20</v>
      </c>
      <c r="B10" s="10">
        <v>25204741</v>
      </c>
      <c r="C10" s="10">
        <v>5023007.03</v>
      </c>
      <c r="D10" s="11">
        <v>0</v>
      </c>
      <c r="E10" s="10">
        <v>5253990.1500000004</v>
      </c>
      <c r="F10" s="12">
        <f t="shared" ref="F10:F15" si="1">+E10/C10</f>
        <v>1.0459850282152601</v>
      </c>
      <c r="G10" s="10">
        <f t="shared" si="0"/>
        <v>-230983.12000000011</v>
      </c>
      <c r="H10" s="13">
        <f>70563.59-127427.57</f>
        <v>-56863.98000000001</v>
      </c>
      <c r="I10" s="14">
        <v>190712.37</v>
      </c>
      <c r="J10" s="14">
        <f>335259+29572.51</f>
        <v>364831.51</v>
      </c>
      <c r="K10" s="14">
        <f t="shared" ref="K10:K18" si="2">H10+I10-J10</f>
        <v>-230983.12000000002</v>
      </c>
      <c r="L10" s="15">
        <f t="shared" ref="L10:L20" si="3">+F10</f>
        <v>1.0459850282152601</v>
      </c>
      <c r="M10" s="46">
        <f>+K10-G10</f>
        <v>0</v>
      </c>
      <c r="N10" s="18"/>
    </row>
    <row r="11" spans="1:14" ht="13.5" x14ac:dyDescent="0.2">
      <c r="A11" s="9" t="s">
        <v>21</v>
      </c>
      <c r="B11" s="10"/>
      <c r="C11" s="10">
        <v>46443</v>
      </c>
      <c r="D11" s="11">
        <v>0</v>
      </c>
      <c r="E11" s="11">
        <v>0</v>
      </c>
      <c r="F11" s="12">
        <f t="shared" si="1"/>
        <v>0</v>
      </c>
      <c r="G11" s="10">
        <f t="shared" si="0"/>
        <v>46443</v>
      </c>
      <c r="H11" s="13">
        <v>47443</v>
      </c>
      <c r="I11" s="14">
        <v>0</v>
      </c>
      <c r="J11" s="14">
        <v>1000</v>
      </c>
      <c r="K11" s="14">
        <f t="shared" si="2"/>
        <v>46443</v>
      </c>
      <c r="L11" s="15">
        <f t="shared" si="3"/>
        <v>0</v>
      </c>
      <c r="M11" s="46">
        <f>+K11-G11</f>
        <v>0</v>
      </c>
    </row>
    <row r="12" spans="1:14" ht="13.5" x14ac:dyDescent="0.2">
      <c r="A12" s="9" t="s">
        <v>22</v>
      </c>
      <c r="B12" s="10"/>
      <c r="C12" s="10">
        <v>97167</v>
      </c>
      <c r="D12" s="11">
        <v>0</v>
      </c>
      <c r="E12" s="11">
        <v>0</v>
      </c>
      <c r="F12" s="12">
        <f t="shared" si="1"/>
        <v>0</v>
      </c>
      <c r="G12" s="10">
        <f t="shared" si="0"/>
        <v>97167</v>
      </c>
      <c r="H12" s="13">
        <v>98167</v>
      </c>
      <c r="I12" s="14"/>
      <c r="J12" s="14">
        <v>1000</v>
      </c>
      <c r="K12" s="14">
        <f t="shared" si="2"/>
        <v>97167</v>
      </c>
      <c r="L12" s="15">
        <f t="shared" si="3"/>
        <v>0</v>
      </c>
      <c r="M12" s="46">
        <f>+K12-G12</f>
        <v>0</v>
      </c>
    </row>
    <row r="13" spans="1:14" ht="13.5" x14ac:dyDescent="0.2">
      <c r="A13" s="9" t="s">
        <v>23</v>
      </c>
      <c r="B13" s="10"/>
      <c r="C13" s="10">
        <v>326829</v>
      </c>
      <c r="D13" s="11">
        <v>0</v>
      </c>
      <c r="E13" s="11">
        <v>0</v>
      </c>
      <c r="F13" s="12">
        <f t="shared" si="1"/>
        <v>0</v>
      </c>
      <c r="G13" s="10">
        <f t="shared" si="0"/>
        <v>326829</v>
      </c>
      <c r="H13" s="13">
        <v>327829</v>
      </c>
      <c r="I13" s="14"/>
      <c r="J13" s="14">
        <v>1000</v>
      </c>
      <c r="K13" s="14">
        <f t="shared" si="2"/>
        <v>326829</v>
      </c>
      <c r="L13" s="15">
        <f t="shared" si="3"/>
        <v>0</v>
      </c>
      <c r="M13" s="46">
        <f t="shared" ref="M13:M19" si="4">+K13-G13</f>
        <v>0</v>
      </c>
    </row>
    <row r="14" spans="1:14" ht="13.5" x14ac:dyDescent="0.2">
      <c r="A14" s="9" t="s">
        <v>24</v>
      </c>
      <c r="B14" s="10">
        <v>12977087</v>
      </c>
      <c r="C14" s="10">
        <v>3490915.11</v>
      </c>
      <c r="D14" s="11">
        <v>0</v>
      </c>
      <c r="E14" s="10">
        <v>2879952.43</v>
      </c>
      <c r="F14" s="12">
        <f t="shared" si="1"/>
        <v>0.82498495072256295</v>
      </c>
      <c r="G14" s="10">
        <f t="shared" si="0"/>
        <v>610962.6799999997</v>
      </c>
      <c r="H14" s="13">
        <v>786932.52</v>
      </c>
      <c r="I14" s="14">
        <f>553</f>
        <v>553</v>
      </c>
      <c r="J14" s="14">
        <f>163237+13289</f>
        <v>176526</v>
      </c>
      <c r="K14" s="14">
        <f t="shared" si="2"/>
        <v>610959.52</v>
      </c>
      <c r="L14" s="15">
        <f t="shared" si="3"/>
        <v>0.82498495072256295</v>
      </c>
      <c r="M14" s="48">
        <f t="shared" si="4"/>
        <v>-3.1599999996833503</v>
      </c>
    </row>
    <row r="15" spans="1:14" ht="13.5" x14ac:dyDescent="0.2">
      <c r="A15" s="9" t="s">
        <v>25</v>
      </c>
      <c r="B15" s="10"/>
      <c r="C15" s="10">
        <v>153441</v>
      </c>
      <c r="D15" s="11">
        <v>0</v>
      </c>
      <c r="E15" s="10">
        <v>9717.48</v>
      </c>
      <c r="F15" s="12">
        <f t="shared" si="1"/>
        <v>6.3330400610006443E-2</v>
      </c>
      <c r="G15" s="10">
        <f t="shared" si="0"/>
        <v>143723.51999999999</v>
      </c>
      <c r="H15" s="13">
        <v>144723.51999999999</v>
      </c>
      <c r="I15" s="14">
        <v>0</v>
      </c>
      <c r="J15" s="14">
        <v>1000</v>
      </c>
      <c r="K15" s="14">
        <f t="shared" si="2"/>
        <v>143723.51999999999</v>
      </c>
      <c r="L15" s="15">
        <f t="shared" si="3"/>
        <v>6.3330400610006443E-2</v>
      </c>
      <c r="M15" s="46">
        <f t="shared" si="4"/>
        <v>0</v>
      </c>
    </row>
    <row r="16" spans="1:14" ht="13.5" x14ac:dyDescent="0.2">
      <c r="A16" s="9" t="s">
        <v>26</v>
      </c>
      <c r="B16" s="10"/>
      <c r="C16" s="11">
        <v>0</v>
      </c>
      <c r="D16" s="11"/>
      <c r="E16" s="11">
        <v>0</v>
      </c>
      <c r="F16" s="12">
        <v>0</v>
      </c>
      <c r="G16" s="14">
        <f t="shared" si="0"/>
        <v>0</v>
      </c>
      <c r="H16" s="11"/>
      <c r="I16" s="14">
        <v>0</v>
      </c>
      <c r="J16" s="14">
        <v>0</v>
      </c>
      <c r="K16" s="14">
        <f t="shared" si="2"/>
        <v>0</v>
      </c>
      <c r="L16" s="15">
        <f t="shared" si="3"/>
        <v>0</v>
      </c>
      <c r="M16" s="47">
        <f t="shared" si="4"/>
        <v>0</v>
      </c>
    </row>
    <row r="17" spans="1:15" ht="13.5" x14ac:dyDescent="0.2">
      <c r="A17" s="9" t="s">
        <v>27</v>
      </c>
      <c r="B17" s="10"/>
      <c r="C17" s="11">
        <v>0</v>
      </c>
      <c r="D17" s="11">
        <v>0</v>
      </c>
      <c r="E17" s="11">
        <v>0</v>
      </c>
      <c r="F17" s="12">
        <v>0</v>
      </c>
      <c r="G17" s="14">
        <f t="shared" si="0"/>
        <v>0</v>
      </c>
      <c r="H17" s="11"/>
      <c r="I17" s="14">
        <v>0</v>
      </c>
      <c r="J17" s="14">
        <v>0</v>
      </c>
      <c r="K17" s="14">
        <f t="shared" si="2"/>
        <v>0</v>
      </c>
      <c r="L17" s="15">
        <f t="shared" si="3"/>
        <v>0</v>
      </c>
      <c r="M17" s="47">
        <f t="shared" si="4"/>
        <v>0</v>
      </c>
    </row>
    <row r="18" spans="1:15" ht="13.5" x14ac:dyDescent="0.2">
      <c r="A18" s="9" t="s">
        <v>28</v>
      </c>
      <c r="B18" s="10"/>
      <c r="C18" s="10">
        <v>11943.06</v>
      </c>
      <c r="D18" s="11">
        <v>0</v>
      </c>
      <c r="E18" s="11">
        <v>0</v>
      </c>
      <c r="F18" s="12">
        <f>+E18/C18</f>
        <v>0</v>
      </c>
      <c r="G18" s="10">
        <f t="shared" si="0"/>
        <v>11943.06</v>
      </c>
      <c r="H18" s="13">
        <v>12943.06</v>
      </c>
      <c r="I18" s="14">
        <v>0</v>
      </c>
      <c r="J18" s="14">
        <v>1000</v>
      </c>
      <c r="K18" s="14">
        <f t="shared" si="2"/>
        <v>11943.06</v>
      </c>
      <c r="L18" s="15">
        <f t="shared" si="3"/>
        <v>0</v>
      </c>
      <c r="M18" s="48">
        <f t="shared" si="4"/>
        <v>0</v>
      </c>
      <c r="N18" s="18"/>
    </row>
    <row r="19" spans="1:15" ht="13.5" x14ac:dyDescent="0.2">
      <c r="A19" s="9" t="s">
        <v>29</v>
      </c>
      <c r="B19" s="10"/>
      <c r="C19" s="10">
        <v>8391819</v>
      </c>
      <c r="D19" s="11">
        <v>0</v>
      </c>
      <c r="E19" s="11">
        <v>0</v>
      </c>
      <c r="F19" s="12">
        <f>+E19/C19</f>
        <v>0</v>
      </c>
      <c r="G19" s="10">
        <f t="shared" si="0"/>
        <v>8391819</v>
      </c>
      <c r="H19" s="13">
        <v>8392819</v>
      </c>
      <c r="I19" s="14">
        <v>0</v>
      </c>
      <c r="J19" s="14">
        <v>1000</v>
      </c>
      <c r="K19" s="14">
        <f>H19+I19-J19</f>
        <v>8391819</v>
      </c>
      <c r="L19" s="15">
        <f t="shared" si="3"/>
        <v>0</v>
      </c>
      <c r="M19" s="46">
        <f t="shared" si="4"/>
        <v>0</v>
      </c>
      <c r="N19" s="18"/>
      <c r="O19" s="18"/>
    </row>
    <row r="20" spans="1:15" ht="13.5" x14ac:dyDescent="0.2">
      <c r="A20" s="9" t="s">
        <v>30</v>
      </c>
      <c r="B20" s="10">
        <v>19272339</v>
      </c>
      <c r="C20" s="10">
        <v>5292744</v>
      </c>
      <c r="D20" s="11">
        <v>0</v>
      </c>
      <c r="E20" s="10">
        <v>3587068.8</v>
      </c>
      <c r="F20" s="12">
        <f>+E20/C20</f>
        <v>0.67773328919743703</v>
      </c>
      <c r="G20" s="10">
        <f t="shared" si="0"/>
        <v>1705675.2000000002</v>
      </c>
      <c r="H20" s="13">
        <v>1762573.2</v>
      </c>
      <c r="I20" s="14">
        <v>0</v>
      </c>
      <c r="J20" s="14">
        <f>1000+55898</f>
        <v>56898</v>
      </c>
      <c r="K20" s="14">
        <f>H20+I20-J20</f>
        <v>1705675.2</v>
      </c>
      <c r="L20" s="15">
        <f t="shared" si="3"/>
        <v>0.67773328919743703</v>
      </c>
      <c r="M20" s="46">
        <f>+K20-G20</f>
        <v>0</v>
      </c>
      <c r="N20" s="19"/>
      <c r="O20" s="18"/>
    </row>
    <row r="21" spans="1:15" s="5" customFormat="1" ht="13.5" x14ac:dyDescent="0.2">
      <c r="A21" s="20" t="s">
        <v>51</v>
      </c>
      <c r="B21" s="21">
        <f t="shared" ref="B21:K21" si="5">SUM(B9:B20)</f>
        <v>67738566.079999998</v>
      </c>
      <c r="C21" s="21">
        <f t="shared" si="5"/>
        <v>27075628.149999999</v>
      </c>
      <c r="D21" s="21">
        <f t="shared" si="5"/>
        <v>0</v>
      </c>
      <c r="E21" s="21">
        <f t="shared" si="5"/>
        <v>13057577.34</v>
      </c>
      <c r="F21" s="21">
        <f t="shared" si="5"/>
        <v>2.9248722415579591</v>
      </c>
      <c r="G21" s="21">
        <f t="shared" si="5"/>
        <v>14018050.809999999</v>
      </c>
      <c r="H21" s="21">
        <f t="shared" si="5"/>
        <v>14331628.02</v>
      </c>
      <c r="I21" s="21">
        <f t="shared" si="5"/>
        <v>338661.97</v>
      </c>
      <c r="J21" s="21">
        <f t="shared" si="5"/>
        <v>652242.34000000008</v>
      </c>
      <c r="K21" s="21">
        <f t="shared" si="5"/>
        <v>14018047.649999999</v>
      </c>
      <c r="L21" s="23"/>
      <c r="M21" s="46">
        <f>+K21-G21</f>
        <v>-3.1600000001490116</v>
      </c>
    </row>
    <row r="22" spans="1:15" s="17" customFormat="1" ht="13.5" x14ac:dyDescent="0.25">
      <c r="A22" s="9" t="s">
        <v>18</v>
      </c>
      <c r="B22" s="10">
        <v>9497181.3399999999</v>
      </c>
      <c r="C22" s="10">
        <v>9497181.3399999999</v>
      </c>
      <c r="D22" s="11">
        <v>0</v>
      </c>
      <c r="E22" s="10">
        <v>8522902.6999999993</v>
      </c>
      <c r="F22" s="12">
        <f>+E22/C22</f>
        <v>0.89741391628518696</v>
      </c>
      <c r="G22" s="10">
        <f>+C22+D22-E22</f>
        <v>974278.6400000006</v>
      </c>
      <c r="H22" s="13">
        <f>781984.35-0.47</f>
        <v>781983.88</v>
      </c>
      <c r="I22" s="14">
        <f>22013.2+172259.48</f>
        <v>194272.68000000002</v>
      </c>
      <c r="J22" s="14">
        <f>-4302.52+6280.44</f>
        <v>1977.9199999999992</v>
      </c>
      <c r="K22" s="14">
        <f>H22+I22-J22</f>
        <v>974278.64</v>
      </c>
      <c r="L22" s="15">
        <f>+F22</f>
        <v>0.89741391628518696</v>
      </c>
      <c r="M22" s="16">
        <f t="shared" ref="M22:M33" si="6">+K22-G22</f>
        <v>0</v>
      </c>
    </row>
    <row r="23" spans="1:15" ht="13.5" x14ac:dyDescent="0.2">
      <c r="A23" s="9" t="s">
        <v>20</v>
      </c>
      <c r="B23" s="10">
        <v>28461059.77</v>
      </c>
      <c r="C23" s="10">
        <f>+B23</f>
        <v>28461059.77</v>
      </c>
      <c r="D23" s="11">
        <v>0</v>
      </c>
      <c r="E23" s="10">
        <v>27479996.23</v>
      </c>
      <c r="F23" s="12">
        <f t="shared" ref="F23:F35" si="7">+E23/C23</f>
        <v>0.96552962019235455</v>
      </c>
      <c r="G23" s="10">
        <f>+C23+D23-E23</f>
        <v>981063.53999999911</v>
      </c>
      <c r="H23" s="13">
        <f>170500+1827605.1</f>
        <v>1998105.1</v>
      </c>
      <c r="I23" s="14">
        <v>0</v>
      </c>
      <c r="J23" s="14">
        <f>854134.16+162187.53+719.87</f>
        <v>1017041.56</v>
      </c>
      <c r="K23" s="14">
        <f t="shared" ref="K23:K86" si="8">H23+I23-J23</f>
        <v>981063.54</v>
      </c>
      <c r="L23" s="15">
        <f t="shared" ref="L23:L38" si="9">+F23</f>
        <v>0.96552962019235455</v>
      </c>
      <c r="M23" s="16">
        <f t="shared" si="6"/>
        <v>9.3132257461547852E-10</v>
      </c>
      <c r="N23" s="18"/>
    </row>
    <row r="24" spans="1:15" ht="13.5" x14ac:dyDescent="0.2">
      <c r="A24" s="9" t="s">
        <v>21</v>
      </c>
      <c r="B24" s="10">
        <v>266576.99</v>
      </c>
      <c r="C24" s="10">
        <v>266576.99</v>
      </c>
      <c r="D24" s="11">
        <v>0</v>
      </c>
      <c r="E24" s="10">
        <v>80893</v>
      </c>
      <c r="F24" s="12">
        <f t="shared" si="7"/>
        <v>0.30345079670979858</v>
      </c>
      <c r="G24" s="10">
        <f>+C24+D24-E24</f>
        <v>185683.99</v>
      </c>
      <c r="H24" s="13">
        <v>185683.99</v>
      </c>
      <c r="I24" s="14">
        <v>0</v>
      </c>
      <c r="J24" s="14">
        <v>0</v>
      </c>
      <c r="K24" s="14">
        <f t="shared" si="8"/>
        <v>185683.99</v>
      </c>
      <c r="L24" s="15">
        <f t="shared" si="9"/>
        <v>0.30345079670979858</v>
      </c>
      <c r="M24" s="16">
        <f t="shared" si="6"/>
        <v>0</v>
      </c>
    </row>
    <row r="25" spans="1:15" ht="13.5" x14ac:dyDescent="0.2">
      <c r="A25" s="9" t="s">
        <v>22</v>
      </c>
      <c r="B25" s="10">
        <v>757786.85</v>
      </c>
      <c r="C25" s="10">
        <v>757786.85</v>
      </c>
      <c r="D25" s="10">
        <v>149.51</v>
      </c>
      <c r="E25" s="10">
        <v>201977</v>
      </c>
      <c r="F25" s="12">
        <f t="shared" si="7"/>
        <v>0.26653537205086103</v>
      </c>
      <c r="G25" s="10">
        <f t="shared" ref="G25:G33" si="10">+C25+D25-E25</f>
        <v>555959.36</v>
      </c>
      <c r="H25" s="13">
        <v>555959.36</v>
      </c>
      <c r="I25" s="14">
        <v>0</v>
      </c>
      <c r="J25" s="14">
        <v>0</v>
      </c>
      <c r="K25" s="14">
        <f t="shared" si="8"/>
        <v>555959.36</v>
      </c>
      <c r="L25" s="15">
        <f t="shared" si="9"/>
        <v>0.26653537205086103</v>
      </c>
      <c r="M25" s="16">
        <f t="shared" si="6"/>
        <v>0</v>
      </c>
    </row>
    <row r="26" spans="1:15" ht="13.5" x14ac:dyDescent="0.2">
      <c r="A26" s="9" t="s">
        <v>23</v>
      </c>
      <c r="B26" s="10">
        <v>919872.2</v>
      </c>
      <c r="C26" s="10">
        <v>919872.2</v>
      </c>
      <c r="D26" s="10">
        <v>408.58</v>
      </c>
      <c r="E26" s="10">
        <v>788192.61</v>
      </c>
      <c r="F26" s="12">
        <f t="shared" si="7"/>
        <v>0.85685012548482287</v>
      </c>
      <c r="G26" s="10">
        <f t="shared" si="10"/>
        <v>132088.16999999993</v>
      </c>
      <c r="H26" s="13">
        <v>132088.17000000001</v>
      </c>
      <c r="I26" s="14">
        <v>0</v>
      </c>
      <c r="J26" s="14">
        <v>0</v>
      </c>
      <c r="K26" s="14">
        <f t="shared" si="8"/>
        <v>132088.17000000001</v>
      </c>
      <c r="L26" s="15">
        <f t="shared" si="9"/>
        <v>0.85685012548482287</v>
      </c>
      <c r="M26" s="16">
        <f t="shared" si="6"/>
        <v>0</v>
      </c>
    </row>
    <row r="27" spans="1:15" ht="13.5" x14ac:dyDescent="0.2">
      <c r="A27" s="9" t="s">
        <v>24</v>
      </c>
      <c r="B27" s="10">
        <v>0</v>
      </c>
      <c r="C27" s="10">
        <v>423848.18</v>
      </c>
      <c r="D27" s="11">
        <v>0</v>
      </c>
      <c r="E27" s="10">
        <v>0</v>
      </c>
      <c r="F27" s="12">
        <f t="shared" si="7"/>
        <v>0</v>
      </c>
      <c r="G27" s="10">
        <f>+C27+D27-E27</f>
        <v>423848.18</v>
      </c>
      <c r="H27" s="13">
        <v>720930.97</v>
      </c>
      <c r="I27" s="14">
        <v>1120</v>
      </c>
      <c r="J27" s="14">
        <f>287062+8756.79+2388</f>
        <v>298206.78999999998</v>
      </c>
      <c r="K27" s="14">
        <f t="shared" si="8"/>
        <v>423844.18</v>
      </c>
      <c r="L27" s="15">
        <f t="shared" si="9"/>
        <v>0</v>
      </c>
      <c r="M27" s="49">
        <f t="shared" si="6"/>
        <v>-4</v>
      </c>
    </row>
    <row r="28" spans="1:15" ht="13.5" x14ac:dyDescent="0.2">
      <c r="A28" s="9" t="s">
        <v>25</v>
      </c>
      <c r="B28" s="10">
        <v>868753.03</v>
      </c>
      <c r="C28" s="10">
        <v>868753.03</v>
      </c>
      <c r="D28" s="10">
        <v>131.31</v>
      </c>
      <c r="E28" s="10">
        <v>542712.97</v>
      </c>
      <c r="F28" s="12">
        <f t="shared" si="7"/>
        <v>0.624703398156781</v>
      </c>
      <c r="G28" s="10">
        <f t="shared" si="10"/>
        <v>326171.37000000011</v>
      </c>
      <c r="H28" s="13">
        <v>326171.37</v>
      </c>
      <c r="I28" s="14">
        <v>0</v>
      </c>
      <c r="J28" s="14">
        <v>0</v>
      </c>
      <c r="K28" s="14">
        <f t="shared" si="8"/>
        <v>326171.37</v>
      </c>
      <c r="L28" s="15">
        <f t="shared" si="9"/>
        <v>0.624703398156781</v>
      </c>
      <c r="M28" s="16">
        <f t="shared" si="6"/>
        <v>0</v>
      </c>
    </row>
    <row r="29" spans="1:15" ht="13.5" x14ac:dyDescent="0.2">
      <c r="A29" s="9" t="s">
        <v>26</v>
      </c>
      <c r="B29" s="10">
        <v>0</v>
      </c>
      <c r="C29" s="10">
        <v>0</v>
      </c>
      <c r="D29" s="11">
        <v>0</v>
      </c>
      <c r="E29" s="10">
        <v>0</v>
      </c>
      <c r="F29" s="12">
        <v>0</v>
      </c>
      <c r="G29" s="14">
        <f t="shared" si="10"/>
        <v>0</v>
      </c>
      <c r="H29" s="11">
        <v>0</v>
      </c>
      <c r="I29" s="14">
        <v>0</v>
      </c>
      <c r="J29" s="14">
        <v>0</v>
      </c>
      <c r="K29" s="14">
        <f t="shared" si="8"/>
        <v>0</v>
      </c>
      <c r="L29" s="15">
        <f t="shared" si="9"/>
        <v>0</v>
      </c>
      <c r="M29" s="16">
        <f t="shared" si="6"/>
        <v>0</v>
      </c>
    </row>
    <row r="30" spans="1:15" ht="13.5" x14ac:dyDescent="0.2">
      <c r="A30" s="9" t="s">
        <v>27</v>
      </c>
      <c r="B30" s="10">
        <v>0</v>
      </c>
      <c r="C30" s="10">
        <v>0</v>
      </c>
      <c r="D30" s="11">
        <v>0</v>
      </c>
      <c r="E30" s="10">
        <v>0</v>
      </c>
      <c r="F30" s="12">
        <v>0</v>
      </c>
      <c r="G30" s="14">
        <f t="shared" si="10"/>
        <v>0</v>
      </c>
      <c r="H30" s="11">
        <v>0</v>
      </c>
      <c r="I30" s="14">
        <v>0</v>
      </c>
      <c r="J30" s="14">
        <v>0</v>
      </c>
      <c r="K30" s="14">
        <f t="shared" si="8"/>
        <v>0</v>
      </c>
      <c r="L30" s="15">
        <f t="shared" si="9"/>
        <v>0</v>
      </c>
      <c r="M30" s="16">
        <f t="shared" si="6"/>
        <v>0</v>
      </c>
    </row>
    <row r="31" spans="1:15" ht="13.5" x14ac:dyDescent="0.2">
      <c r="A31" s="9" t="s">
        <v>27</v>
      </c>
      <c r="B31" s="10">
        <v>573447.68000000005</v>
      </c>
      <c r="C31" s="10">
        <v>573447.68999999994</v>
      </c>
      <c r="D31" s="11">
        <v>0</v>
      </c>
      <c r="E31" s="10">
        <v>569680.31999999995</v>
      </c>
      <c r="F31" s="12">
        <f t="shared" si="7"/>
        <v>0.99343031619850108</v>
      </c>
      <c r="G31" s="10">
        <f t="shared" si="10"/>
        <v>3767.3699999999953</v>
      </c>
      <c r="H31" s="13">
        <v>3767.37</v>
      </c>
      <c r="I31" s="14">
        <v>0</v>
      </c>
      <c r="J31" s="14">
        <v>0</v>
      </c>
      <c r="K31" s="14">
        <f t="shared" si="8"/>
        <v>3767.37</v>
      </c>
      <c r="L31" s="15">
        <f t="shared" si="9"/>
        <v>0.99343031619850108</v>
      </c>
      <c r="M31" s="16">
        <f t="shared" si="6"/>
        <v>4.5474735088646412E-12</v>
      </c>
    </row>
    <row r="32" spans="1:15" ht="13.5" x14ac:dyDescent="0.2">
      <c r="A32" s="9" t="s">
        <v>28</v>
      </c>
      <c r="B32" s="10">
        <v>36484.65</v>
      </c>
      <c r="C32" s="10">
        <v>36484.65</v>
      </c>
      <c r="D32" s="11">
        <v>0</v>
      </c>
      <c r="E32" s="10">
        <v>0</v>
      </c>
      <c r="F32" s="12">
        <f t="shared" si="7"/>
        <v>0</v>
      </c>
      <c r="G32" s="10">
        <f t="shared" si="10"/>
        <v>36484.65</v>
      </c>
      <c r="H32" s="13">
        <v>36484.65</v>
      </c>
      <c r="I32" s="14">
        <v>0</v>
      </c>
      <c r="J32" s="14">
        <v>0</v>
      </c>
      <c r="K32" s="14">
        <f t="shared" si="8"/>
        <v>36484.65</v>
      </c>
      <c r="L32" s="15">
        <f t="shared" si="9"/>
        <v>0</v>
      </c>
      <c r="M32" s="16">
        <f t="shared" si="6"/>
        <v>0</v>
      </c>
    </row>
    <row r="33" spans="1:15" ht="13.5" x14ac:dyDescent="0.2">
      <c r="A33" s="9" t="s">
        <v>29</v>
      </c>
      <c r="B33" s="10">
        <v>25802087</v>
      </c>
      <c r="C33" s="10">
        <v>25802087</v>
      </c>
      <c r="D33" s="45">
        <f>1948.34+11855.21+17411.8+24901.03+30826.95+1275.36+39471.97+28017.47</f>
        <v>155708.13</v>
      </c>
      <c r="E33" s="10">
        <v>21535015.98</v>
      </c>
      <c r="F33" s="12">
        <f t="shared" si="7"/>
        <v>0.83462302797444254</v>
      </c>
      <c r="G33" s="10">
        <f t="shared" si="10"/>
        <v>4422779.1499999985</v>
      </c>
      <c r="H33" s="13">
        <f>4256662.33+280000</f>
        <v>4536662.33</v>
      </c>
      <c r="I33" s="14">
        <f>152805.87-30099.8</f>
        <v>122706.06999999999</v>
      </c>
      <c r="J33" s="14">
        <f>20016.25+101234.5+88489.25+27754.43-905.18</f>
        <v>236589.25</v>
      </c>
      <c r="K33" s="14">
        <f>H33+I33-J33</f>
        <v>4422779.1500000004</v>
      </c>
      <c r="L33" s="15">
        <f t="shared" si="9"/>
        <v>0.83462302797444254</v>
      </c>
      <c r="M33" s="16">
        <f t="shared" si="6"/>
        <v>0</v>
      </c>
      <c r="N33" s="18"/>
      <c r="O33" s="18"/>
    </row>
    <row r="34" spans="1:15" ht="13.5" x14ac:dyDescent="0.2">
      <c r="A34" s="9" t="s">
        <v>30</v>
      </c>
      <c r="B34" s="10">
        <v>0</v>
      </c>
      <c r="C34" s="10">
        <f>1296554.55-1984</f>
        <v>1294570.55</v>
      </c>
      <c r="D34" s="10">
        <v>0</v>
      </c>
      <c r="E34" s="10">
        <v>1101765.3</v>
      </c>
      <c r="F34" s="12">
        <f t="shared" si="7"/>
        <v>0.85106624741309</v>
      </c>
      <c r="G34" s="10">
        <f>+C34+D34-E34</f>
        <v>192805.25</v>
      </c>
      <c r="H34" s="13">
        <v>484505.73</v>
      </c>
      <c r="I34" s="14">
        <v>0</v>
      </c>
      <c r="J34" s="14">
        <f>117121+174579.48</f>
        <v>291700.47999999998</v>
      </c>
      <c r="K34" s="14">
        <f>H34+I34-J34</f>
        <v>192805.25</v>
      </c>
      <c r="L34" s="15">
        <f t="shared" si="9"/>
        <v>0.85106624741309</v>
      </c>
      <c r="M34" s="16">
        <f t="shared" ref="M34:M39" si="11">+K34-G34</f>
        <v>0</v>
      </c>
      <c r="N34" s="19"/>
      <c r="O34" s="18"/>
    </row>
    <row r="35" spans="1:15" ht="13.5" x14ac:dyDescent="0.2">
      <c r="A35" s="9" t="s">
        <v>31</v>
      </c>
      <c r="B35" s="10">
        <v>700000</v>
      </c>
      <c r="C35" s="10">
        <v>700000</v>
      </c>
      <c r="D35" s="11">
        <v>0</v>
      </c>
      <c r="E35" s="10">
        <v>700000</v>
      </c>
      <c r="F35" s="12">
        <f t="shared" si="7"/>
        <v>1</v>
      </c>
      <c r="G35" s="11">
        <v>0</v>
      </c>
      <c r="H35" s="13">
        <v>9956.9</v>
      </c>
      <c r="I35" s="14">
        <v>0</v>
      </c>
      <c r="J35" s="14">
        <f>6034.48+3017.24+905.18</f>
        <v>9956.9</v>
      </c>
      <c r="K35" s="14">
        <f t="shared" si="8"/>
        <v>0</v>
      </c>
      <c r="L35" s="15">
        <f t="shared" si="9"/>
        <v>1</v>
      </c>
      <c r="M35" s="16">
        <f t="shared" si="11"/>
        <v>0</v>
      </c>
    </row>
    <row r="36" spans="1:15" ht="13.5" x14ac:dyDescent="0.2">
      <c r="A36" s="9">
        <v>3001</v>
      </c>
      <c r="B36" s="11">
        <v>0</v>
      </c>
      <c r="C36" s="11">
        <v>0</v>
      </c>
      <c r="D36" s="11">
        <v>0</v>
      </c>
      <c r="E36" s="10">
        <v>0</v>
      </c>
      <c r="F36" s="12">
        <v>0</v>
      </c>
      <c r="G36" s="11">
        <v>0</v>
      </c>
      <c r="H36" s="11">
        <v>0</v>
      </c>
      <c r="I36" s="14">
        <v>0</v>
      </c>
      <c r="J36" s="14">
        <v>0</v>
      </c>
      <c r="K36" s="14">
        <f t="shared" si="8"/>
        <v>0</v>
      </c>
      <c r="L36" s="15">
        <f t="shared" si="9"/>
        <v>0</v>
      </c>
      <c r="M36" s="16">
        <f t="shared" si="11"/>
        <v>0</v>
      </c>
    </row>
    <row r="37" spans="1:15" ht="13.5" x14ac:dyDescent="0.2">
      <c r="A37" s="9">
        <v>3002</v>
      </c>
      <c r="B37" s="11">
        <v>0</v>
      </c>
      <c r="C37" s="11">
        <v>0</v>
      </c>
      <c r="D37" s="11">
        <v>0</v>
      </c>
      <c r="E37" s="10">
        <v>0</v>
      </c>
      <c r="F37" s="12">
        <v>0</v>
      </c>
      <c r="G37" s="11">
        <v>0</v>
      </c>
      <c r="H37" s="11">
        <v>0</v>
      </c>
      <c r="I37" s="14">
        <v>0</v>
      </c>
      <c r="J37" s="14">
        <v>0</v>
      </c>
      <c r="K37" s="14">
        <f t="shared" si="8"/>
        <v>0</v>
      </c>
      <c r="L37" s="15">
        <f t="shared" si="9"/>
        <v>0</v>
      </c>
      <c r="M37" s="16">
        <f t="shared" si="11"/>
        <v>0</v>
      </c>
    </row>
    <row r="38" spans="1:15" ht="13.5" x14ac:dyDescent="0.2">
      <c r="A38" s="9" t="s">
        <v>32</v>
      </c>
      <c r="B38" s="10">
        <v>1483500</v>
      </c>
      <c r="C38" s="10">
        <v>1483500</v>
      </c>
      <c r="D38" s="11">
        <v>0</v>
      </c>
      <c r="E38" s="10">
        <v>1483500</v>
      </c>
      <c r="F38" s="12">
        <f>+E38/C38</f>
        <v>1</v>
      </c>
      <c r="G38" s="11">
        <v>0</v>
      </c>
      <c r="H38" s="13">
        <v>21101.51</v>
      </c>
      <c r="I38" s="14">
        <v>0</v>
      </c>
      <c r="J38" s="14">
        <f>12788.79+6394.4+1918.32</f>
        <v>21101.510000000002</v>
      </c>
      <c r="K38" s="14">
        <f t="shared" si="8"/>
        <v>0</v>
      </c>
      <c r="L38" s="15">
        <f t="shared" si="9"/>
        <v>1</v>
      </c>
      <c r="M38" s="16">
        <f t="shared" si="11"/>
        <v>0</v>
      </c>
    </row>
    <row r="39" spans="1:15" s="5" customFormat="1" ht="13.5" x14ac:dyDescent="0.2">
      <c r="A39" s="20" t="s">
        <v>33</v>
      </c>
      <c r="B39" s="21">
        <f>SUM(B22:B38)</f>
        <v>69366749.510000005</v>
      </c>
      <c r="C39" s="21">
        <f>SUM(C22:C38)</f>
        <v>71085168.25</v>
      </c>
      <c r="D39" s="21">
        <f>SUM(D22:D38)</f>
        <v>156397.53</v>
      </c>
      <c r="E39" s="21">
        <f>SUM(E22:E38)</f>
        <v>63006636.109999999</v>
      </c>
      <c r="F39" s="22">
        <f>+E39/C39</f>
        <v>0.88635418134499522</v>
      </c>
      <c r="G39" s="21">
        <f>SUM(G22:G38)</f>
        <v>8234929.6699999981</v>
      </c>
      <c r="H39" s="21">
        <f>SUM(H22:H38)</f>
        <v>9793401.3300000019</v>
      </c>
      <c r="I39" s="21">
        <f>SUM(I22:I38)</f>
        <v>318098.75</v>
      </c>
      <c r="J39" s="21">
        <f>SUM(J22:J38)</f>
        <v>1876574.41</v>
      </c>
      <c r="K39" s="21">
        <f>SUM(K22:K38)</f>
        <v>8234925.6699999999</v>
      </c>
      <c r="L39" s="23"/>
      <c r="M39" s="16">
        <f t="shared" si="11"/>
        <v>-3.9999999981373549</v>
      </c>
    </row>
    <row r="40" spans="1:15" ht="13.5" x14ac:dyDescent="0.2">
      <c r="A40" s="9" t="s">
        <v>18</v>
      </c>
      <c r="B40" s="10">
        <v>0</v>
      </c>
      <c r="C40" s="10">
        <v>0</v>
      </c>
      <c r="D40" s="13"/>
      <c r="E40" s="10">
        <v>0</v>
      </c>
      <c r="F40" s="12">
        <v>0</v>
      </c>
      <c r="G40" s="10">
        <v>4283.6000000000004</v>
      </c>
      <c r="H40" s="10">
        <v>32268.68</v>
      </c>
      <c r="I40" s="10">
        <v>0</v>
      </c>
      <c r="J40" s="10">
        <v>27985.08</v>
      </c>
      <c r="K40" s="10">
        <f t="shared" si="8"/>
        <v>4283.5999999999985</v>
      </c>
      <c r="L40" s="15"/>
      <c r="M40" s="16">
        <f t="shared" ref="M40:M85" si="12">+K40-G40</f>
        <v>0</v>
      </c>
    </row>
    <row r="41" spans="1:15" ht="13.5" x14ac:dyDescent="0.2">
      <c r="A41" s="9" t="s">
        <v>20</v>
      </c>
      <c r="B41" s="10">
        <v>0</v>
      </c>
      <c r="C41" s="10">
        <v>0</v>
      </c>
      <c r="D41" s="13"/>
      <c r="E41" s="10">
        <v>0</v>
      </c>
      <c r="F41" s="12">
        <v>0</v>
      </c>
      <c r="G41" s="10">
        <v>45477.47</v>
      </c>
      <c r="H41" s="10">
        <v>45477.47</v>
      </c>
      <c r="I41" s="10">
        <v>0</v>
      </c>
      <c r="J41" s="10">
        <v>0</v>
      </c>
      <c r="K41" s="10">
        <f t="shared" si="8"/>
        <v>45477.47</v>
      </c>
      <c r="L41" s="15"/>
      <c r="M41" s="16">
        <f t="shared" si="12"/>
        <v>0</v>
      </c>
    </row>
    <row r="42" spans="1:15" ht="13.5" x14ac:dyDescent="0.2">
      <c r="A42" s="9" t="s">
        <v>25</v>
      </c>
      <c r="B42" s="10">
        <v>0</v>
      </c>
      <c r="C42" s="10">
        <v>0</v>
      </c>
      <c r="D42" s="13"/>
      <c r="E42" s="10">
        <v>0</v>
      </c>
      <c r="F42" s="12">
        <v>0</v>
      </c>
      <c r="G42" s="10">
        <v>45082.35</v>
      </c>
      <c r="H42" s="10">
        <v>45082.35</v>
      </c>
      <c r="I42" s="10">
        <v>0</v>
      </c>
      <c r="J42" s="10">
        <v>0</v>
      </c>
      <c r="K42" s="10">
        <f t="shared" si="8"/>
        <v>45082.35</v>
      </c>
      <c r="L42" s="15"/>
      <c r="M42" s="16">
        <f t="shared" si="12"/>
        <v>0</v>
      </c>
    </row>
    <row r="43" spans="1:15" ht="13.5" x14ac:dyDescent="0.2">
      <c r="A43" s="9" t="s">
        <v>26</v>
      </c>
      <c r="B43" s="10">
        <v>0</v>
      </c>
      <c r="C43" s="10">
        <v>0</v>
      </c>
      <c r="D43" s="13"/>
      <c r="E43" s="10">
        <v>0</v>
      </c>
      <c r="F43" s="12">
        <v>0</v>
      </c>
      <c r="G43" s="10">
        <v>220218.16</v>
      </c>
      <c r="H43" s="10">
        <v>20218.16</v>
      </c>
      <c r="I43" s="10">
        <v>200000</v>
      </c>
      <c r="J43" s="10">
        <v>0</v>
      </c>
      <c r="K43" s="10">
        <f t="shared" si="8"/>
        <v>220218.16</v>
      </c>
      <c r="L43" s="15"/>
      <c r="M43" s="16">
        <f t="shared" si="12"/>
        <v>0</v>
      </c>
    </row>
    <row r="44" spans="1:15" ht="13.5" x14ac:dyDescent="0.2">
      <c r="A44" s="9" t="s">
        <v>29</v>
      </c>
      <c r="B44" s="10">
        <v>0</v>
      </c>
      <c r="C44" s="10">
        <v>0</v>
      </c>
      <c r="D44" s="11">
        <v>0</v>
      </c>
      <c r="E44" s="10">
        <v>0</v>
      </c>
      <c r="F44" s="12">
        <v>0</v>
      </c>
      <c r="G44" s="10">
        <v>2494385.7599999998</v>
      </c>
      <c r="H44" s="10">
        <f>66.53+2511998.64</f>
        <v>2512065.17</v>
      </c>
      <c r="I44" s="10">
        <v>0</v>
      </c>
      <c r="J44" s="10">
        <v>17679.41</v>
      </c>
      <c r="K44" s="10">
        <f t="shared" si="8"/>
        <v>2494385.7599999998</v>
      </c>
      <c r="L44" s="15"/>
      <c r="M44" s="16">
        <f t="shared" si="12"/>
        <v>0</v>
      </c>
    </row>
    <row r="45" spans="1:15" ht="27" x14ac:dyDescent="0.2">
      <c r="A45" s="9" t="s">
        <v>34</v>
      </c>
      <c r="B45" s="10">
        <v>0</v>
      </c>
      <c r="C45" s="10">
        <v>154782.26</v>
      </c>
      <c r="D45" s="13">
        <v>0</v>
      </c>
      <c r="E45" s="10">
        <v>0</v>
      </c>
      <c r="F45" s="12">
        <v>0</v>
      </c>
      <c r="G45" s="10">
        <f>+C45+D45-E45</f>
        <v>154782.26</v>
      </c>
      <c r="H45" s="10">
        <v>237102.37</v>
      </c>
      <c r="I45" s="10">
        <v>0</v>
      </c>
      <c r="J45" s="10">
        <v>82320.11</v>
      </c>
      <c r="K45" s="10">
        <f t="shared" si="8"/>
        <v>154782.26</v>
      </c>
      <c r="L45" s="15"/>
      <c r="M45" s="16">
        <f t="shared" si="12"/>
        <v>0</v>
      </c>
    </row>
    <row r="46" spans="1:15" ht="13.5" x14ac:dyDescent="0.2">
      <c r="A46" s="9"/>
      <c r="B46" s="10">
        <v>0</v>
      </c>
      <c r="C46" s="10">
        <v>0</v>
      </c>
      <c r="D46" s="10"/>
      <c r="E46" s="10">
        <v>0</v>
      </c>
      <c r="F46" s="12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8"/>
        <v>0</v>
      </c>
      <c r="L46" s="15"/>
      <c r="M46" s="16">
        <f t="shared" si="12"/>
        <v>0</v>
      </c>
    </row>
    <row r="47" spans="1:15" ht="13.5" x14ac:dyDescent="0.2">
      <c r="A47" s="24" t="s">
        <v>35</v>
      </c>
      <c r="B47" s="25">
        <f>SUM(B40:B46)</f>
        <v>0</v>
      </c>
      <c r="C47" s="25">
        <f t="shared" ref="C47:K47" si="13">SUM(C40:C46)</f>
        <v>154782.26</v>
      </c>
      <c r="D47" s="25">
        <f t="shared" si="13"/>
        <v>0</v>
      </c>
      <c r="E47" s="25">
        <f t="shared" si="13"/>
        <v>0</v>
      </c>
      <c r="F47" s="25">
        <f t="shared" si="13"/>
        <v>0</v>
      </c>
      <c r="G47" s="25">
        <f t="shared" si="13"/>
        <v>2964229.5999999996</v>
      </c>
      <c r="H47" s="25">
        <f t="shared" si="13"/>
        <v>2892214.2</v>
      </c>
      <c r="I47" s="25">
        <f t="shared" si="13"/>
        <v>200000</v>
      </c>
      <c r="J47" s="25">
        <f t="shared" si="13"/>
        <v>127984.6</v>
      </c>
      <c r="K47" s="25">
        <f t="shared" si="13"/>
        <v>2964229.5999999996</v>
      </c>
      <c r="L47" s="27"/>
      <c r="M47" s="16">
        <f t="shared" si="12"/>
        <v>0</v>
      </c>
    </row>
    <row r="48" spans="1:15" ht="13.5" x14ac:dyDescent="0.2">
      <c r="A48" s="9" t="s">
        <v>18</v>
      </c>
      <c r="B48" s="10">
        <v>0</v>
      </c>
      <c r="C48" s="10">
        <v>0</v>
      </c>
      <c r="D48" s="10"/>
      <c r="E48" s="10">
        <v>0</v>
      </c>
      <c r="F48" s="12">
        <v>0</v>
      </c>
      <c r="G48" s="10">
        <v>57064.89</v>
      </c>
      <c r="H48" s="10">
        <v>132233.86000000002</v>
      </c>
      <c r="I48" s="10">
        <v>185.03</v>
      </c>
      <c r="J48" s="10">
        <v>75354</v>
      </c>
      <c r="K48" s="10">
        <f t="shared" si="8"/>
        <v>57064.890000000014</v>
      </c>
      <c r="L48" s="15"/>
      <c r="M48" s="16">
        <f t="shared" si="12"/>
        <v>0</v>
      </c>
    </row>
    <row r="49" spans="1:13" ht="13.5" x14ac:dyDescent="0.2">
      <c r="A49" s="9" t="s">
        <v>36</v>
      </c>
      <c r="B49" s="10">
        <v>0</v>
      </c>
      <c r="C49" s="10">
        <v>0</v>
      </c>
      <c r="D49" s="10"/>
      <c r="E49" s="10">
        <v>0</v>
      </c>
      <c r="F49" s="12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8"/>
        <v>0</v>
      </c>
      <c r="L49" s="15"/>
      <c r="M49" s="16">
        <f t="shared" si="12"/>
        <v>0</v>
      </c>
    </row>
    <row r="50" spans="1:13" ht="13.5" x14ac:dyDescent="0.2">
      <c r="A50" s="9" t="s">
        <v>20</v>
      </c>
      <c r="B50" s="10">
        <v>0</v>
      </c>
      <c r="C50" s="10">
        <v>0</v>
      </c>
      <c r="D50" s="10"/>
      <c r="E50" s="10">
        <v>0</v>
      </c>
      <c r="F50" s="12">
        <v>0</v>
      </c>
      <c r="G50" s="10">
        <v>54914.5</v>
      </c>
      <c r="H50" s="10">
        <v>51501.9</v>
      </c>
      <c r="I50" s="10">
        <v>0</v>
      </c>
      <c r="J50" s="10">
        <v>-3412.6000000000931</v>
      </c>
      <c r="K50" s="10">
        <f t="shared" si="8"/>
        <v>54914.500000000095</v>
      </c>
      <c r="L50" s="15"/>
      <c r="M50" s="16">
        <f t="shared" si="12"/>
        <v>9.4587448984384537E-11</v>
      </c>
    </row>
    <row r="51" spans="1:13" ht="13.5" x14ac:dyDescent="0.2">
      <c r="A51" s="9" t="s">
        <v>21</v>
      </c>
      <c r="B51" s="10">
        <v>0</v>
      </c>
      <c r="C51" s="10">
        <v>0</v>
      </c>
      <c r="D51" s="10"/>
      <c r="E51" s="10">
        <v>0</v>
      </c>
      <c r="F51" s="12">
        <v>0</v>
      </c>
      <c r="G51" s="10">
        <v>5979.07</v>
      </c>
      <c r="H51" s="10">
        <v>5979.07</v>
      </c>
      <c r="I51" s="10">
        <v>0</v>
      </c>
      <c r="J51" s="10">
        <v>0</v>
      </c>
      <c r="K51" s="10">
        <f t="shared" si="8"/>
        <v>5979.07</v>
      </c>
      <c r="L51" s="15"/>
      <c r="M51" s="16">
        <f t="shared" si="12"/>
        <v>0</v>
      </c>
    </row>
    <row r="52" spans="1:13" ht="13.5" x14ac:dyDescent="0.2">
      <c r="A52" s="9" t="s">
        <v>22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60932.3</v>
      </c>
      <c r="H52" s="10">
        <v>60932.3</v>
      </c>
      <c r="I52" s="10">
        <v>0</v>
      </c>
      <c r="J52" s="10">
        <v>0</v>
      </c>
      <c r="K52" s="10">
        <f t="shared" si="8"/>
        <v>60932.3</v>
      </c>
      <c r="L52" s="15"/>
      <c r="M52" s="16">
        <f t="shared" si="12"/>
        <v>0</v>
      </c>
    </row>
    <row r="53" spans="1:13" ht="13.5" x14ac:dyDescent="0.2">
      <c r="A53" s="9" t="s">
        <v>24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17486.5</v>
      </c>
      <c r="H53" s="10">
        <v>17486.5</v>
      </c>
      <c r="I53" s="10">
        <v>0</v>
      </c>
      <c r="J53" s="10">
        <v>0</v>
      </c>
      <c r="K53" s="10">
        <f t="shared" si="8"/>
        <v>17486.5</v>
      </c>
      <c r="L53" s="15"/>
      <c r="M53" s="16">
        <f t="shared" si="12"/>
        <v>0</v>
      </c>
    </row>
    <row r="54" spans="1:13" ht="13.5" x14ac:dyDescent="0.2">
      <c r="A54" s="9" t="s">
        <v>25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11051.67</v>
      </c>
      <c r="H54" s="10">
        <v>11051.67</v>
      </c>
      <c r="I54" s="10">
        <v>0</v>
      </c>
      <c r="J54" s="10">
        <v>0</v>
      </c>
      <c r="K54" s="10">
        <f t="shared" si="8"/>
        <v>11051.67</v>
      </c>
      <c r="L54" s="15"/>
      <c r="M54" s="16">
        <f t="shared" si="12"/>
        <v>0</v>
      </c>
    </row>
    <row r="55" spans="1:13" ht="13.5" x14ac:dyDescent="0.2">
      <c r="A55" s="9" t="s">
        <v>29</v>
      </c>
      <c r="B55" s="10">
        <v>0</v>
      </c>
      <c r="C55" s="10">
        <v>0</v>
      </c>
      <c r="D55" s="10">
        <v>0</v>
      </c>
      <c r="E55" s="10">
        <v>0</v>
      </c>
      <c r="F55" s="12">
        <v>0</v>
      </c>
      <c r="G55" s="10">
        <v>148467.66</v>
      </c>
      <c r="H55" s="10">
        <v>158380.9</v>
      </c>
      <c r="I55" s="10"/>
      <c r="J55" s="10">
        <f>2876.27+7036.97</f>
        <v>9913.24</v>
      </c>
      <c r="K55" s="10">
        <f t="shared" si="8"/>
        <v>148467.66</v>
      </c>
      <c r="L55" s="15"/>
      <c r="M55" s="16">
        <f t="shared" si="12"/>
        <v>0</v>
      </c>
    </row>
    <row r="56" spans="1:13" ht="13.5" x14ac:dyDescent="0.2">
      <c r="A56" s="9" t="s">
        <v>30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6199.68</v>
      </c>
      <c r="H56" s="10">
        <v>0</v>
      </c>
      <c r="I56" s="10">
        <v>6199.68</v>
      </c>
      <c r="J56" s="10">
        <v>0</v>
      </c>
      <c r="K56" s="10">
        <f t="shared" si="8"/>
        <v>6199.68</v>
      </c>
      <c r="L56" s="15"/>
      <c r="M56" s="16">
        <f t="shared" si="12"/>
        <v>0</v>
      </c>
    </row>
    <row r="57" spans="1:13" ht="13.5" x14ac:dyDescent="0.2">
      <c r="A57" s="9">
        <v>3001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510.97</v>
      </c>
      <c r="H57" s="10">
        <v>696</v>
      </c>
      <c r="I57" s="10">
        <v>0</v>
      </c>
      <c r="J57" s="10">
        <v>185.03</v>
      </c>
      <c r="K57" s="10">
        <f t="shared" si="8"/>
        <v>510.97</v>
      </c>
      <c r="L57" s="15"/>
      <c r="M57" s="16">
        <f t="shared" si="12"/>
        <v>0</v>
      </c>
    </row>
    <row r="58" spans="1:13" ht="13.5" x14ac:dyDescent="0.2">
      <c r="A58" s="9">
        <v>3002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64791.47</v>
      </c>
      <c r="H58" s="10">
        <v>64920.78</v>
      </c>
      <c r="I58" s="10">
        <v>0</v>
      </c>
      <c r="J58" s="10">
        <v>129.31</v>
      </c>
      <c r="K58" s="10">
        <f t="shared" si="8"/>
        <v>64791.47</v>
      </c>
      <c r="L58" s="15"/>
      <c r="M58" s="16">
        <f t="shared" si="12"/>
        <v>0</v>
      </c>
    </row>
    <row r="59" spans="1:13" ht="13.5" x14ac:dyDescent="0.2">
      <c r="A59" s="9"/>
      <c r="B59" s="10">
        <v>0</v>
      </c>
      <c r="C59" s="10">
        <v>0</v>
      </c>
      <c r="D59" s="10"/>
      <c r="E59" s="10">
        <v>0</v>
      </c>
      <c r="F59" s="12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8"/>
        <v>0</v>
      </c>
      <c r="L59" s="15"/>
      <c r="M59" s="16">
        <f t="shared" si="12"/>
        <v>0</v>
      </c>
    </row>
    <row r="60" spans="1:13" ht="13.5" x14ac:dyDescent="0.2">
      <c r="A60" s="24" t="s">
        <v>37</v>
      </c>
      <c r="B60" s="25">
        <f>SUM(B48:B59)</f>
        <v>0</v>
      </c>
      <c r="C60" s="25">
        <f t="shared" ref="C60:K60" si="14">SUM(C48:C59)</f>
        <v>0</v>
      </c>
      <c r="D60" s="25">
        <f t="shared" si="14"/>
        <v>0</v>
      </c>
      <c r="E60" s="25">
        <f t="shared" si="14"/>
        <v>0</v>
      </c>
      <c r="F60" s="25">
        <f t="shared" si="14"/>
        <v>0</v>
      </c>
      <c r="G60" s="25">
        <f t="shared" si="14"/>
        <v>427398.70999999996</v>
      </c>
      <c r="H60" s="25">
        <f t="shared" si="14"/>
        <v>503182.98</v>
      </c>
      <c r="I60" s="25">
        <f t="shared" si="14"/>
        <v>6384.71</v>
      </c>
      <c r="J60" s="25">
        <f t="shared" si="14"/>
        <v>82168.979999999909</v>
      </c>
      <c r="K60" s="25">
        <f t="shared" si="14"/>
        <v>427398.71000000008</v>
      </c>
      <c r="L60" s="27"/>
      <c r="M60" s="16">
        <f>+K60-G60</f>
        <v>0</v>
      </c>
    </row>
    <row r="61" spans="1:13" ht="13.5" x14ac:dyDescent="0.2">
      <c r="A61" s="9" t="s">
        <v>18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38436.01</v>
      </c>
      <c r="H61" s="10">
        <v>62509.189999999988</v>
      </c>
      <c r="I61" s="10">
        <v>236626.82</v>
      </c>
      <c r="J61" s="10">
        <v>260700</v>
      </c>
      <c r="K61" s="10">
        <f t="shared" si="8"/>
        <v>38436.010000000009</v>
      </c>
      <c r="L61" s="15"/>
      <c r="M61" s="16">
        <f t="shared" si="12"/>
        <v>0</v>
      </c>
    </row>
    <row r="62" spans="1:13" ht="13.5" x14ac:dyDescent="0.2">
      <c r="A62" s="9" t="s">
        <v>20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137672.87</v>
      </c>
      <c r="H62" s="10">
        <v>19069.32</v>
      </c>
      <c r="I62" s="10">
        <v>1797063.97</v>
      </c>
      <c r="J62" s="10">
        <v>1678460.42</v>
      </c>
      <c r="K62" s="10">
        <f t="shared" si="8"/>
        <v>137672.87000000011</v>
      </c>
      <c r="L62" s="15"/>
      <c r="M62" s="16">
        <f t="shared" si="12"/>
        <v>0</v>
      </c>
    </row>
    <row r="63" spans="1:13" ht="13.5" x14ac:dyDescent="0.2">
      <c r="A63" s="9" t="s">
        <v>24</v>
      </c>
      <c r="B63" s="10">
        <v>0</v>
      </c>
      <c r="C63" s="10">
        <v>17884.25</v>
      </c>
      <c r="D63" s="10">
        <f>7.16+6.59</f>
        <v>13.75</v>
      </c>
      <c r="E63" s="10">
        <v>696</v>
      </c>
      <c r="F63" s="12">
        <v>0</v>
      </c>
      <c r="G63" s="10">
        <f>+C63+D63-E63</f>
        <v>17202</v>
      </c>
      <c r="H63" s="10">
        <v>17202</v>
      </c>
      <c r="I63" s="10">
        <v>0</v>
      </c>
      <c r="J63" s="10">
        <v>0</v>
      </c>
      <c r="K63" s="10">
        <f t="shared" si="8"/>
        <v>17202</v>
      </c>
      <c r="L63" s="15"/>
      <c r="M63" s="46">
        <f t="shared" si="12"/>
        <v>0</v>
      </c>
    </row>
    <row r="64" spans="1:13" ht="13.5" x14ac:dyDescent="0.2">
      <c r="A64" s="9" t="s">
        <v>25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18649.8</v>
      </c>
      <c r="H64" s="10">
        <v>40388.06</v>
      </c>
      <c r="I64" s="10">
        <v>100000</v>
      </c>
      <c r="J64" s="10">
        <v>121738.26</v>
      </c>
      <c r="K64" s="10">
        <f t="shared" si="8"/>
        <v>18649.800000000003</v>
      </c>
      <c r="L64" s="15"/>
      <c r="M64" s="16">
        <f t="shared" si="12"/>
        <v>0</v>
      </c>
    </row>
    <row r="65" spans="1:13" ht="13.5" x14ac:dyDescent="0.2">
      <c r="A65" s="9" t="s">
        <v>29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337850.79</v>
      </c>
      <c r="H65" s="10">
        <v>419631.03</v>
      </c>
      <c r="I65" s="10">
        <v>-7.49</v>
      </c>
      <c r="J65" s="10">
        <v>81772.75</v>
      </c>
      <c r="K65" s="10">
        <f t="shared" si="8"/>
        <v>337850.79000000004</v>
      </c>
      <c r="L65" s="15"/>
      <c r="M65" s="16">
        <f t="shared" si="12"/>
        <v>0</v>
      </c>
    </row>
    <row r="66" spans="1:13" ht="13.5" x14ac:dyDescent="0.2">
      <c r="A66" s="9" t="s">
        <v>30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0</v>
      </c>
      <c r="H66" s="10">
        <v>538779.80000000005</v>
      </c>
      <c r="I66" s="10">
        <v>0</v>
      </c>
      <c r="J66" s="10">
        <v>538779.80000000005</v>
      </c>
      <c r="K66" s="10">
        <f t="shared" si="8"/>
        <v>0</v>
      </c>
      <c r="L66" s="15"/>
      <c r="M66" s="16">
        <f t="shared" si="12"/>
        <v>0</v>
      </c>
    </row>
    <row r="67" spans="1:13" ht="13.5" x14ac:dyDescent="0.2">
      <c r="A67" s="9">
        <v>3001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314.99</v>
      </c>
      <c r="H67" s="10">
        <v>315</v>
      </c>
      <c r="I67" s="10">
        <v>0</v>
      </c>
      <c r="J67" s="10">
        <v>0.01</v>
      </c>
      <c r="K67" s="10">
        <f t="shared" si="8"/>
        <v>314.99</v>
      </c>
      <c r="L67" s="15"/>
      <c r="M67" s="16">
        <f t="shared" si="12"/>
        <v>0</v>
      </c>
    </row>
    <row r="68" spans="1:13" ht="13.5" x14ac:dyDescent="0.2">
      <c r="A68" s="9">
        <v>3002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12858.9</v>
      </c>
      <c r="H68" s="10">
        <v>12858.91</v>
      </c>
      <c r="I68" s="10">
        <v>0</v>
      </c>
      <c r="J68" s="10">
        <v>0.01</v>
      </c>
      <c r="K68" s="10">
        <f t="shared" si="8"/>
        <v>12858.9</v>
      </c>
      <c r="L68" s="15"/>
      <c r="M68" s="16">
        <f t="shared" si="12"/>
        <v>0</v>
      </c>
    </row>
    <row r="69" spans="1:13" ht="13.5" x14ac:dyDescent="0.2">
      <c r="A69" s="9"/>
      <c r="B69" s="10">
        <v>0</v>
      </c>
      <c r="C69" s="10">
        <v>0</v>
      </c>
      <c r="D69" s="10"/>
      <c r="E69" s="10">
        <v>0</v>
      </c>
      <c r="F69" s="12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8"/>
        <v>0</v>
      </c>
      <c r="L69" s="15"/>
      <c r="M69" s="16">
        <f t="shared" si="12"/>
        <v>0</v>
      </c>
    </row>
    <row r="70" spans="1:13" ht="13.5" x14ac:dyDescent="0.2">
      <c r="A70" s="24" t="s">
        <v>38</v>
      </c>
      <c r="B70" s="25">
        <f>SUM(B61:B69)</f>
        <v>0</v>
      </c>
      <c r="C70" s="25">
        <f t="shared" ref="C70:K70" si="15">SUM(C61:C69)</f>
        <v>17884.25</v>
      </c>
      <c r="D70" s="25">
        <f t="shared" si="15"/>
        <v>13.75</v>
      </c>
      <c r="E70" s="25">
        <f t="shared" si="15"/>
        <v>696</v>
      </c>
      <c r="F70" s="25">
        <f t="shared" si="15"/>
        <v>0</v>
      </c>
      <c r="G70" s="25">
        <f t="shared" si="15"/>
        <v>562985.36</v>
      </c>
      <c r="H70" s="25">
        <f t="shared" si="15"/>
        <v>1110753.3099999998</v>
      </c>
      <c r="I70" s="25">
        <f t="shared" si="15"/>
        <v>2133683.2999999998</v>
      </c>
      <c r="J70" s="25">
        <f t="shared" si="15"/>
        <v>2681451.2499999991</v>
      </c>
      <c r="K70" s="25">
        <f t="shared" si="15"/>
        <v>562985.36000000022</v>
      </c>
      <c r="L70" s="27"/>
      <c r="M70" s="16">
        <f t="shared" si="12"/>
        <v>0</v>
      </c>
    </row>
    <row r="71" spans="1:13" ht="13.5" x14ac:dyDescent="0.2">
      <c r="A71" s="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70435.27</v>
      </c>
      <c r="H71" s="10">
        <v>27196.65</v>
      </c>
      <c r="I71" s="10">
        <v>1260055.98</v>
      </c>
      <c r="J71" s="10">
        <v>1216817.3599999999</v>
      </c>
      <c r="K71" s="10">
        <f t="shared" si="8"/>
        <v>70435.270000000019</v>
      </c>
      <c r="L71" s="15"/>
      <c r="M71" s="16">
        <f t="shared" si="12"/>
        <v>0</v>
      </c>
    </row>
    <row r="72" spans="1:13" ht="13.5" x14ac:dyDescent="0.2">
      <c r="A72" s="9" t="s">
        <v>36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-10</v>
      </c>
      <c r="H72" s="10">
        <v>-10</v>
      </c>
      <c r="I72" s="10">
        <v>0</v>
      </c>
      <c r="J72" s="10">
        <v>0</v>
      </c>
      <c r="K72" s="10">
        <f t="shared" si="8"/>
        <v>-10</v>
      </c>
      <c r="L72" s="15"/>
      <c r="M72" s="16">
        <f t="shared" si="12"/>
        <v>0</v>
      </c>
    </row>
    <row r="73" spans="1:13" ht="13.5" x14ac:dyDescent="0.2">
      <c r="A73" s="9" t="s">
        <v>20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10409.09</v>
      </c>
      <c r="H73" s="10">
        <v>8124.4500000000007</v>
      </c>
      <c r="I73" s="10">
        <v>1364164.99</v>
      </c>
      <c r="J73" s="10">
        <v>1361880.35</v>
      </c>
      <c r="K73" s="10">
        <f t="shared" si="8"/>
        <v>10409.089999999851</v>
      </c>
      <c r="L73" s="15"/>
      <c r="M73" s="16">
        <f t="shared" si="12"/>
        <v>-1.4915713109076023E-10</v>
      </c>
    </row>
    <row r="74" spans="1:13" ht="13.5" x14ac:dyDescent="0.2">
      <c r="A74" s="9" t="s">
        <v>24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1150.8900000000001</v>
      </c>
      <c r="H74" s="10">
        <v>42631.81</v>
      </c>
      <c r="I74" s="10">
        <v>412765.08</v>
      </c>
      <c r="J74" s="10">
        <v>454246</v>
      </c>
      <c r="K74" s="10">
        <f t="shared" si="8"/>
        <v>1150.890000000014</v>
      </c>
      <c r="L74" s="15"/>
      <c r="M74" s="16">
        <f t="shared" si="12"/>
        <v>1.3869794202037156E-11</v>
      </c>
    </row>
    <row r="75" spans="1:13" ht="13.5" x14ac:dyDescent="0.2">
      <c r="A75" s="9" t="s">
        <v>25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-1415.64</v>
      </c>
      <c r="H75" s="10">
        <v>719.87</v>
      </c>
      <c r="I75" s="10">
        <v>17662.490000000002</v>
      </c>
      <c r="J75" s="10">
        <v>19798</v>
      </c>
      <c r="K75" s="10">
        <f t="shared" si="8"/>
        <v>-1415.6399999999994</v>
      </c>
      <c r="L75" s="15"/>
      <c r="M75" s="16">
        <f t="shared" si="12"/>
        <v>0</v>
      </c>
    </row>
    <row r="76" spans="1:13" ht="13.5" x14ac:dyDescent="0.2">
      <c r="A76" s="9" t="s">
        <v>27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267528.84000000003</v>
      </c>
      <c r="H76" s="10">
        <v>0</v>
      </c>
      <c r="I76" s="10">
        <v>267528.84000000003</v>
      </c>
      <c r="J76" s="10">
        <v>0</v>
      </c>
      <c r="K76" s="10">
        <f t="shared" si="8"/>
        <v>267528.84000000003</v>
      </c>
      <c r="L76" s="15"/>
      <c r="M76" s="16">
        <f t="shared" si="12"/>
        <v>0</v>
      </c>
    </row>
    <row r="77" spans="1:13" ht="13.5" x14ac:dyDescent="0.2">
      <c r="A77" s="9" t="s">
        <v>29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238880.59</v>
      </c>
      <c r="H77" s="10">
        <v>286118.3</v>
      </c>
      <c r="I77" s="10">
        <v>98358.74</v>
      </c>
      <c r="J77" s="10">
        <v>145596.44999999998</v>
      </c>
      <c r="K77" s="10">
        <f t="shared" si="8"/>
        <v>238880.59</v>
      </c>
      <c r="L77" s="15"/>
      <c r="M77" s="16">
        <f t="shared" si="12"/>
        <v>0</v>
      </c>
    </row>
    <row r="78" spans="1:13" ht="13.5" x14ac:dyDescent="0.2">
      <c r="A78" s="9" t="s">
        <v>30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8"/>
        <v>0</v>
      </c>
      <c r="L78" s="15"/>
      <c r="M78" s="16">
        <f t="shared" si="12"/>
        <v>0</v>
      </c>
    </row>
    <row r="79" spans="1:13" ht="13.5" x14ac:dyDescent="0.2">
      <c r="A79" s="9"/>
      <c r="B79" s="10">
        <v>0</v>
      </c>
      <c r="C79" s="10">
        <v>0</v>
      </c>
      <c r="D79" s="10"/>
      <c r="E79" s="10">
        <v>0</v>
      </c>
      <c r="F79" s="12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8"/>
        <v>0</v>
      </c>
      <c r="L79" s="15"/>
      <c r="M79" s="16">
        <f t="shared" si="12"/>
        <v>0</v>
      </c>
    </row>
    <row r="80" spans="1:13" ht="13.5" x14ac:dyDescent="0.2">
      <c r="A80" s="24" t="s">
        <v>39</v>
      </c>
      <c r="B80" s="25">
        <f>SUM(B71:B79)</f>
        <v>0</v>
      </c>
      <c r="C80" s="25">
        <f t="shared" ref="C80:K80" si="16">SUM(C71:C79)</f>
        <v>0</v>
      </c>
      <c r="D80" s="25">
        <f t="shared" si="16"/>
        <v>0</v>
      </c>
      <c r="E80" s="25">
        <f t="shared" si="16"/>
        <v>0</v>
      </c>
      <c r="F80" s="25">
        <f t="shared" si="16"/>
        <v>0</v>
      </c>
      <c r="G80" s="25">
        <f t="shared" si="16"/>
        <v>586979.04</v>
      </c>
      <c r="H80" s="25">
        <f t="shared" si="16"/>
        <v>364781.07999999996</v>
      </c>
      <c r="I80" s="25">
        <f t="shared" si="16"/>
        <v>3420536.12</v>
      </c>
      <c r="J80" s="25">
        <f t="shared" si="16"/>
        <v>3198338.16</v>
      </c>
      <c r="K80" s="25">
        <f t="shared" si="16"/>
        <v>586979.03999999992</v>
      </c>
      <c r="L80" s="27"/>
      <c r="M80" s="16">
        <f t="shared" si="12"/>
        <v>0</v>
      </c>
    </row>
    <row r="81" spans="1:13" ht="13.5" x14ac:dyDescent="0.2">
      <c r="A81" s="9" t="s">
        <v>18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1852.17</v>
      </c>
      <c r="H81" s="10">
        <v>21852.97</v>
      </c>
      <c r="I81" s="10">
        <v>0</v>
      </c>
      <c r="J81" s="10">
        <v>20000.8</v>
      </c>
      <c r="K81" s="10">
        <f t="shared" si="8"/>
        <v>1852.1700000000019</v>
      </c>
      <c r="L81" s="15"/>
      <c r="M81" s="16">
        <f t="shared" si="12"/>
        <v>1.8189894035458565E-12</v>
      </c>
    </row>
    <row r="82" spans="1:13" ht="13.5" x14ac:dyDescent="0.2">
      <c r="A82" s="9" t="s">
        <v>24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43212.38</v>
      </c>
      <c r="H82" s="10">
        <v>43212.38</v>
      </c>
      <c r="I82" s="10">
        <v>0</v>
      </c>
      <c r="J82" s="10">
        <v>0</v>
      </c>
      <c r="K82" s="10">
        <f t="shared" si="8"/>
        <v>43212.38</v>
      </c>
      <c r="L82" s="15"/>
      <c r="M82" s="16">
        <f t="shared" si="12"/>
        <v>0</v>
      </c>
    </row>
    <row r="83" spans="1:13" ht="13.5" x14ac:dyDescent="0.2">
      <c r="A83" s="9" t="s">
        <v>25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1625.34</v>
      </c>
      <c r="H83" s="10">
        <v>8443.23</v>
      </c>
      <c r="I83" s="10">
        <v>10845.58</v>
      </c>
      <c r="J83" s="10">
        <v>17663.47</v>
      </c>
      <c r="K83" s="10">
        <f t="shared" si="8"/>
        <v>1625.3399999999965</v>
      </c>
      <c r="L83" s="15"/>
      <c r="M83" s="16">
        <f t="shared" si="12"/>
        <v>-3.4106051316484809E-12</v>
      </c>
    </row>
    <row r="84" spans="1:13" ht="13.5" x14ac:dyDescent="0.2">
      <c r="A84" s="9" t="s">
        <v>26</v>
      </c>
      <c r="B84" s="10">
        <v>0</v>
      </c>
      <c r="C84" s="10">
        <v>0</v>
      </c>
      <c r="D84" s="10"/>
      <c r="E84" s="10">
        <v>0</v>
      </c>
      <c r="F84" s="12">
        <v>0</v>
      </c>
      <c r="G84" s="10">
        <v>20682.669999999998</v>
      </c>
      <c r="H84" s="10">
        <v>0</v>
      </c>
      <c r="I84" s="10">
        <v>20682.669999999998</v>
      </c>
      <c r="J84" s="10">
        <v>0</v>
      </c>
      <c r="K84" s="10">
        <f t="shared" si="8"/>
        <v>20682.669999999998</v>
      </c>
      <c r="L84" s="15"/>
      <c r="M84" s="16">
        <f t="shared" si="12"/>
        <v>0</v>
      </c>
    </row>
    <row r="85" spans="1:13" ht="13.5" x14ac:dyDescent="0.2">
      <c r="A85" s="9" t="s">
        <v>29</v>
      </c>
      <c r="B85" s="10">
        <v>0</v>
      </c>
      <c r="C85" s="10">
        <v>0</v>
      </c>
      <c r="D85" s="10"/>
      <c r="E85" s="10">
        <v>0</v>
      </c>
      <c r="F85" s="12">
        <v>0</v>
      </c>
      <c r="G85" s="10">
        <v>74081.95</v>
      </c>
      <c r="H85" s="10">
        <v>79147.360000000001</v>
      </c>
      <c r="I85" s="10">
        <v>0</v>
      </c>
      <c r="J85" s="10">
        <v>5065.41</v>
      </c>
      <c r="K85" s="10">
        <f t="shared" si="8"/>
        <v>74081.95</v>
      </c>
      <c r="L85" s="15"/>
      <c r="M85" s="16">
        <f t="shared" si="12"/>
        <v>0</v>
      </c>
    </row>
    <row r="86" spans="1:13" ht="13.5" x14ac:dyDescent="0.2">
      <c r="A86" s="9" t="s">
        <v>30</v>
      </c>
      <c r="B86" s="10">
        <v>0</v>
      </c>
      <c r="C86" s="10">
        <v>0</v>
      </c>
      <c r="D86" s="10"/>
      <c r="E86" s="10">
        <v>0</v>
      </c>
      <c r="F86" s="12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8"/>
        <v>0</v>
      </c>
      <c r="L86" s="15"/>
      <c r="M86" s="16">
        <f t="shared" ref="M86:M99" si="17">+K86-G86</f>
        <v>0</v>
      </c>
    </row>
    <row r="87" spans="1:13" ht="13.5" x14ac:dyDescent="0.2">
      <c r="A87" s="9"/>
      <c r="B87" s="10">
        <v>0</v>
      </c>
      <c r="C87" s="10">
        <v>0</v>
      </c>
      <c r="D87" s="10"/>
      <c r="E87" s="10">
        <v>0</v>
      </c>
      <c r="F87" s="12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ref="K87:K95" si="18">H87+I87-J87</f>
        <v>0</v>
      </c>
      <c r="L87" s="15"/>
      <c r="M87" s="16">
        <f t="shared" si="17"/>
        <v>0</v>
      </c>
    </row>
    <row r="88" spans="1:13" ht="13.5" x14ac:dyDescent="0.2">
      <c r="A88" s="24" t="s">
        <v>40</v>
      </c>
      <c r="B88" s="25">
        <f>SUM(B81:B87)</f>
        <v>0</v>
      </c>
      <c r="C88" s="25">
        <f t="shared" ref="C88:K88" si="19">SUM(C81:C87)</f>
        <v>0</v>
      </c>
      <c r="D88" s="25">
        <f t="shared" si="19"/>
        <v>0</v>
      </c>
      <c r="E88" s="25">
        <f t="shared" si="19"/>
        <v>0</v>
      </c>
      <c r="F88" s="25">
        <f t="shared" si="19"/>
        <v>0</v>
      </c>
      <c r="G88" s="25">
        <f t="shared" si="19"/>
        <v>141454.51</v>
      </c>
      <c r="H88" s="25">
        <f t="shared" si="19"/>
        <v>152655.94</v>
      </c>
      <c r="I88" s="25">
        <f t="shared" si="19"/>
        <v>31528.25</v>
      </c>
      <c r="J88" s="25">
        <f t="shared" si="19"/>
        <v>42729.680000000008</v>
      </c>
      <c r="K88" s="25">
        <f t="shared" si="19"/>
        <v>141454.51</v>
      </c>
      <c r="L88" s="27"/>
      <c r="M88" s="16">
        <f t="shared" si="17"/>
        <v>0</v>
      </c>
    </row>
    <row r="89" spans="1:13" ht="13.5" x14ac:dyDescent="0.2">
      <c r="A89" s="9" t="s">
        <v>36</v>
      </c>
      <c r="B89" s="10">
        <v>0</v>
      </c>
      <c r="C89" s="10">
        <v>0</v>
      </c>
      <c r="D89" s="10"/>
      <c r="E89" s="10">
        <v>0</v>
      </c>
      <c r="F89" s="12">
        <v>0</v>
      </c>
      <c r="G89" s="10">
        <v>12193</v>
      </c>
      <c r="H89" s="10">
        <v>13553.029999999999</v>
      </c>
      <c r="I89" s="10">
        <v>0</v>
      </c>
      <c r="J89" s="10">
        <v>1360.03</v>
      </c>
      <c r="K89" s="10">
        <f t="shared" si="18"/>
        <v>12192.999999999998</v>
      </c>
      <c r="L89" s="15"/>
      <c r="M89" s="16">
        <f t="shared" si="17"/>
        <v>0</v>
      </c>
    </row>
    <row r="90" spans="1:13" ht="13.5" x14ac:dyDescent="0.2">
      <c r="A90" s="9" t="s">
        <v>29</v>
      </c>
      <c r="B90" s="10">
        <v>0</v>
      </c>
      <c r="C90" s="10">
        <v>0</v>
      </c>
      <c r="D90" s="10"/>
      <c r="E90" s="10">
        <v>0</v>
      </c>
      <c r="F90" s="12">
        <v>0</v>
      </c>
      <c r="G90" s="10">
        <v>7163.64</v>
      </c>
      <c r="H90" s="10">
        <v>6216.71</v>
      </c>
      <c r="I90" s="10">
        <v>4500</v>
      </c>
      <c r="J90" s="10">
        <v>3553.0699999999997</v>
      </c>
      <c r="K90" s="10">
        <f t="shared" si="18"/>
        <v>7163.6399999999994</v>
      </c>
      <c r="L90" s="15"/>
      <c r="M90" s="16">
        <f t="shared" si="17"/>
        <v>0</v>
      </c>
    </row>
    <row r="91" spans="1:13" ht="13.5" x14ac:dyDescent="0.2">
      <c r="A91" s="9"/>
      <c r="B91" s="10">
        <v>0</v>
      </c>
      <c r="C91" s="10">
        <v>0</v>
      </c>
      <c r="D91" s="10"/>
      <c r="E91" s="10">
        <v>0</v>
      </c>
      <c r="F91" s="12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8"/>
        <v>0</v>
      </c>
      <c r="L91" s="15"/>
      <c r="M91" s="16">
        <f t="shared" si="17"/>
        <v>0</v>
      </c>
    </row>
    <row r="92" spans="1:13" ht="13.5" x14ac:dyDescent="0.2">
      <c r="A92" s="24" t="s">
        <v>41</v>
      </c>
      <c r="B92" s="25">
        <f>+B89+B90+B91</f>
        <v>0</v>
      </c>
      <c r="C92" s="25">
        <f t="shared" ref="C92:K92" si="20">+C89+C90+C91</f>
        <v>0</v>
      </c>
      <c r="D92" s="25">
        <f t="shared" si="20"/>
        <v>0</v>
      </c>
      <c r="E92" s="25">
        <f t="shared" si="20"/>
        <v>0</v>
      </c>
      <c r="F92" s="25">
        <f t="shared" si="20"/>
        <v>0</v>
      </c>
      <c r="G92" s="25">
        <f t="shared" si="20"/>
        <v>19356.64</v>
      </c>
      <c r="H92" s="25">
        <f t="shared" si="20"/>
        <v>19769.739999999998</v>
      </c>
      <c r="I92" s="25">
        <f t="shared" si="20"/>
        <v>4500</v>
      </c>
      <c r="J92" s="25">
        <f t="shared" si="20"/>
        <v>4913.0999999999995</v>
      </c>
      <c r="K92" s="25">
        <f t="shared" si="20"/>
        <v>19356.64</v>
      </c>
      <c r="L92" s="27"/>
      <c r="M92" s="16">
        <f t="shared" si="17"/>
        <v>0</v>
      </c>
    </row>
    <row r="93" spans="1:13" ht="13.5" x14ac:dyDescent="0.2">
      <c r="A93" s="9" t="s">
        <v>36</v>
      </c>
      <c r="B93" s="10">
        <v>0</v>
      </c>
      <c r="C93" s="10">
        <v>0</v>
      </c>
      <c r="D93" s="10"/>
      <c r="E93" s="10">
        <v>0</v>
      </c>
      <c r="F93" s="12">
        <v>0</v>
      </c>
      <c r="G93" s="10">
        <v>4081.54</v>
      </c>
      <c r="H93" s="10">
        <v>4081.54</v>
      </c>
      <c r="I93" s="10">
        <v>0</v>
      </c>
      <c r="J93" s="10">
        <v>0</v>
      </c>
      <c r="K93" s="10">
        <f t="shared" si="18"/>
        <v>4081.54</v>
      </c>
      <c r="L93" s="15"/>
      <c r="M93" s="16">
        <f t="shared" si="17"/>
        <v>0</v>
      </c>
    </row>
    <row r="94" spans="1:13" ht="13.5" x14ac:dyDescent="0.2">
      <c r="A94" s="9" t="s">
        <v>29</v>
      </c>
      <c r="B94" s="10">
        <v>0</v>
      </c>
      <c r="C94" s="10">
        <v>0</v>
      </c>
      <c r="D94" s="10"/>
      <c r="E94" s="10">
        <v>0</v>
      </c>
      <c r="F94" s="12">
        <v>0</v>
      </c>
      <c r="G94" s="10">
        <v>28063.68</v>
      </c>
      <c r="H94" s="10">
        <v>2763.68</v>
      </c>
      <c r="I94" s="10">
        <v>25300</v>
      </c>
      <c r="J94" s="10">
        <v>0</v>
      </c>
      <c r="K94" s="10">
        <f t="shared" si="18"/>
        <v>28063.68</v>
      </c>
      <c r="L94" s="15"/>
      <c r="M94" s="16">
        <f t="shared" si="17"/>
        <v>0</v>
      </c>
    </row>
    <row r="95" spans="1:13" ht="13.5" x14ac:dyDescent="0.2">
      <c r="A95" s="9"/>
      <c r="B95" s="10">
        <v>0</v>
      </c>
      <c r="C95" s="10">
        <v>0</v>
      </c>
      <c r="D95" s="10"/>
      <c r="E95" s="10">
        <v>0</v>
      </c>
      <c r="F95" s="12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8"/>
        <v>0</v>
      </c>
      <c r="L95" s="15"/>
      <c r="M95" s="16">
        <f t="shared" si="17"/>
        <v>0</v>
      </c>
    </row>
    <row r="96" spans="1:13" ht="13.5" x14ac:dyDescent="0.2">
      <c r="A96" s="24" t="s">
        <v>42</v>
      </c>
      <c r="B96" s="25">
        <f>+B93+B94+B95</f>
        <v>0</v>
      </c>
      <c r="C96" s="25">
        <f t="shared" ref="C96:K96" si="21">+C93+C94+C95</f>
        <v>0</v>
      </c>
      <c r="D96" s="25">
        <f t="shared" si="21"/>
        <v>0</v>
      </c>
      <c r="E96" s="25">
        <f t="shared" si="21"/>
        <v>0</v>
      </c>
      <c r="F96" s="25">
        <f t="shared" si="21"/>
        <v>0</v>
      </c>
      <c r="G96" s="25">
        <f t="shared" si="21"/>
        <v>32145.22</v>
      </c>
      <c r="H96" s="25">
        <f t="shared" si="21"/>
        <v>6845.2199999999993</v>
      </c>
      <c r="I96" s="25">
        <f t="shared" si="21"/>
        <v>25300</v>
      </c>
      <c r="J96" s="25">
        <f t="shared" si="21"/>
        <v>0</v>
      </c>
      <c r="K96" s="25">
        <f t="shared" si="21"/>
        <v>32145.22</v>
      </c>
      <c r="L96" s="27"/>
      <c r="M96" s="16">
        <f t="shared" si="17"/>
        <v>0</v>
      </c>
    </row>
    <row r="97" spans="1:13" ht="13.5" x14ac:dyDescent="0.2">
      <c r="A97" s="9"/>
      <c r="B97" s="10">
        <v>0</v>
      </c>
      <c r="C97" s="10">
        <v>0</v>
      </c>
      <c r="D97" s="10"/>
      <c r="E97" s="10">
        <v>0</v>
      </c>
      <c r="F97" s="12">
        <v>0</v>
      </c>
      <c r="G97" s="10">
        <v>0</v>
      </c>
      <c r="H97" s="10">
        <v>0</v>
      </c>
      <c r="I97" s="10">
        <v>0</v>
      </c>
      <c r="J97" s="10">
        <v>0</v>
      </c>
      <c r="K97" s="10">
        <f>H97+I97-J97</f>
        <v>0</v>
      </c>
      <c r="L97" s="15"/>
      <c r="M97" s="16">
        <f t="shared" si="17"/>
        <v>0</v>
      </c>
    </row>
    <row r="98" spans="1:13" ht="27" x14ac:dyDescent="0.2">
      <c r="A98" s="24" t="s">
        <v>43</v>
      </c>
      <c r="B98" s="25">
        <f t="shared" ref="B98:K98" si="22">+B96+B92+B88+B80+B70+B60+B47+B39</f>
        <v>69366749.510000005</v>
      </c>
      <c r="C98" s="25">
        <f t="shared" si="22"/>
        <v>71257834.760000005</v>
      </c>
      <c r="D98" s="25">
        <f t="shared" si="22"/>
        <v>156411.28</v>
      </c>
      <c r="E98" s="25">
        <f t="shared" si="22"/>
        <v>63007332.109999999</v>
      </c>
      <c r="F98" s="25">
        <f t="shared" si="22"/>
        <v>0.88635418134499522</v>
      </c>
      <c r="G98" s="25">
        <f t="shared" si="22"/>
        <v>12969478.749999998</v>
      </c>
      <c r="H98" s="25">
        <f t="shared" si="22"/>
        <v>14843603.800000001</v>
      </c>
      <c r="I98" s="25">
        <f t="shared" si="22"/>
        <v>6140031.1299999999</v>
      </c>
      <c r="J98" s="25">
        <f t="shared" si="22"/>
        <v>8014160.1799999988</v>
      </c>
      <c r="K98" s="25">
        <f t="shared" si="22"/>
        <v>12969474.75</v>
      </c>
      <c r="L98" s="27"/>
      <c r="M98" s="16">
        <f t="shared" si="17"/>
        <v>-3.9999999981373549</v>
      </c>
    </row>
    <row r="99" spans="1:13" ht="13.5" x14ac:dyDescent="0.2">
      <c r="A99" s="9"/>
      <c r="B99" s="10">
        <v>0</v>
      </c>
      <c r="C99" s="10">
        <v>0</v>
      </c>
      <c r="D99" s="10"/>
      <c r="E99" s="10">
        <v>0</v>
      </c>
      <c r="F99" s="12">
        <v>0</v>
      </c>
      <c r="G99" s="10">
        <v>0</v>
      </c>
      <c r="H99" s="10">
        <v>0</v>
      </c>
      <c r="I99" s="10">
        <v>0</v>
      </c>
      <c r="J99" s="10">
        <v>0</v>
      </c>
      <c r="K99" s="10">
        <f>H99+I99-J99</f>
        <v>0</v>
      </c>
      <c r="L99" s="15"/>
      <c r="M99" s="16">
        <f t="shared" si="17"/>
        <v>0</v>
      </c>
    </row>
    <row r="100" spans="1:13" ht="13.5" x14ac:dyDescent="0.2">
      <c r="A100" s="24" t="s">
        <v>44</v>
      </c>
      <c r="B100" s="25">
        <f>+B98+B21</f>
        <v>137105315.59</v>
      </c>
      <c r="C100" s="25">
        <f t="shared" ref="C100:K100" si="23">+C98+C21</f>
        <v>98333462.909999996</v>
      </c>
      <c r="D100" s="25">
        <f t="shared" si="23"/>
        <v>156411.28</v>
      </c>
      <c r="E100" s="25">
        <f t="shared" si="23"/>
        <v>76064909.450000003</v>
      </c>
      <c r="F100" s="25">
        <f t="shared" si="23"/>
        <v>3.8112264229029544</v>
      </c>
      <c r="G100" s="25">
        <f t="shared" si="23"/>
        <v>26987529.559999995</v>
      </c>
      <c r="H100" s="25">
        <f t="shared" si="23"/>
        <v>29175231.82</v>
      </c>
      <c r="I100" s="25">
        <f t="shared" si="23"/>
        <v>6478693.0999999996</v>
      </c>
      <c r="J100" s="25">
        <f t="shared" si="23"/>
        <v>8666402.5199999996</v>
      </c>
      <c r="K100" s="25">
        <f t="shared" si="23"/>
        <v>26987522.399999999</v>
      </c>
      <c r="L100" s="27"/>
    </row>
    <row r="101" spans="1:13" ht="13.5" x14ac:dyDescent="0.25">
      <c r="A101" s="28"/>
      <c r="B101" s="29"/>
      <c r="C101" s="29"/>
      <c r="D101" s="29"/>
      <c r="E101" s="28"/>
      <c r="F101" s="28"/>
      <c r="G101" s="28"/>
      <c r="H101" s="28"/>
      <c r="I101" s="28"/>
      <c r="J101" s="28"/>
      <c r="K101" s="28"/>
      <c r="L101" s="30"/>
    </row>
    <row r="102" spans="1:13" x14ac:dyDescent="0.2">
      <c r="A102" s="19"/>
      <c r="B102" s="19"/>
      <c r="C102" s="333" t="s">
        <v>45</v>
      </c>
      <c r="D102" s="333"/>
      <c r="E102" s="333"/>
      <c r="F102" s="333"/>
      <c r="G102" s="333"/>
      <c r="H102" s="333"/>
      <c r="I102" s="333"/>
      <c r="J102" s="19"/>
      <c r="K102" s="19"/>
      <c r="L102" s="19"/>
    </row>
    <row r="103" spans="1:13" x14ac:dyDescent="0.2">
      <c r="A103" s="19"/>
      <c r="B103" s="19"/>
      <c r="C103" s="40"/>
      <c r="D103" s="40"/>
      <c r="E103" s="40"/>
      <c r="F103" s="40"/>
      <c r="G103" s="40"/>
      <c r="H103" s="40"/>
      <c r="I103" s="40"/>
      <c r="J103" s="19"/>
      <c r="K103" s="19"/>
      <c r="L103" s="19"/>
    </row>
    <row r="104" spans="1:13" ht="13.5" x14ac:dyDescent="0.25">
      <c r="A104" s="19"/>
      <c r="B104" s="325" t="s">
        <v>46</v>
      </c>
      <c r="C104" s="325"/>
      <c r="D104" s="326" t="s">
        <v>47</v>
      </c>
      <c r="E104" s="327"/>
      <c r="F104" s="328"/>
      <c r="G104" s="320" t="s">
        <v>48</v>
      </c>
      <c r="H104" s="320"/>
      <c r="I104" s="43" t="s">
        <v>10</v>
      </c>
      <c r="J104" s="19"/>
      <c r="K104" s="19"/>
      <c r="L104" s="19"/>
    </row>
    <row r="105" spans="1:13" ht="13.5" x14ac:dyDescent="0.25">
      <c r="A105" s="19"/>
      <c r="B105" s="329" t="s">
        <v>49</v>
      </c>
      <c r="C105" s="329"/>
      <c r="D105" s="330">
        <v>8135543</v>
      </c>
      <c r="E105" s="331"/>
      <c r="F105" s="332">
        <v>0</v>
      </c>
      <c r="G105" s="330">
        <v>2004169</v>
      </c>
      <c r="H105" s="332"/>
      <c r="I105" s="33">
        <f>G105/D105</f>
        <v>0.2463472935979811</v>
      </c>
      <c r="J105" s="19"/>
      <c r="K105" s="19"/>
      <c r="L105" s="19"/>
    </row>
    <row r="106" spans="1:13" ht="13.5" x14ac:dyDescent="0.25">
      <c r="A106" s="19"/>
      <c r="B106" s="320"/>
      <c r="C106" s="320"/>
      <c r="D106" s="321"/>
      <c r="E106" s="322"/>
      <c r="F106" s="323"/>
      <c r="G106" s="324"/>
      <c r="H106" s="324"/>
      <c r="I106" s="44"/>
      <c r="J106" s="19"/>
      <c r="K106" s="19"/>
      <c r="L106" s="19"/>
    </row>
    <row r="107" spans="1:13" ht="13.5" x14ac:dyDescent="0.25">
      <c r="A107" s="19"/>
      <c r="B107" s="320"/>
      <c r="C107" s="320"/>
      <c r="D107" s="321"/>
      <c r="E107" s="322"/>
      <c r="F107" s="323"/>
      <c r="G107" s="324"/>
      <c r="H107" s="324"/>
      <c r="I107" s="44"/>
      <c r="J107" s="19"/>
      <c r="K107" s="19"/>
      <c r="L107" s="19"/>
    </row>
    <row r="108" spans="1:13" ht="13.5" x14ac:dyDescent="0.25">
      <c r="A108" s="19"/>
      <c r="B108" s="320"/>
      <c r="C108" s="320"/>
      <c r="D108" s="321"/>
      <c r="E108" s="322"/>
      <c r="F108" s="323"/>
      <c r="G108" s="324"/>
      <c r="H108" s="324"/>
      <c r="I108" s="44"/>
      <c r="J108" s="19"/>
      <c r="K108" s="19"/>
      <c r="L108" s="19"/>
    </row>
    <row r="109" spans="1:13" ht="13.5" x14ac:dyDescent="0.25">
      <c r="A109" s="35" t="s">
        <v>50</v>
      </c>
      <c r="B109" s="36"/>
      <c r="C109" s="36"/>
      <c r="D109" s="36"/>
      <c r="E109" s="36"/>
      <c r="F109" s="36"/>
      <c r="G109" s="37"/>
      <c r="H109" s="37"/>
      <c r="I109" s="38"/>
      <c r="J109" s="19"/>
      <c r="K109" s="19"/>
      <c r="L109" s="19"/>
    </row>
  </sheetData>
  <mergeCells count="31">
    <mergeCell ref="B108:C108"/>
    <mergeCell ref="D108:F108"/>
    <mergeCell ref="G108:H108"/>
    <mergeCell ref="B106:C106"/>
    <mergeCell ref="D106:F106"/>
    <mergeCell ref="G106:H106"/>
    <mergeCell ref="B107:C107"/>
    <mergeCell ref="D107:F107"/>
    <mergeCell ref="G107:H107"/>
    <mergeCell ref="B104:C104"/>
    <mergeCell ref="D104:F104"/>
    <mergeCell ref="G104:H104"/>
    <mergeCell ref="B105:C105"/>
    <mergeCell ref="D105:F105"/>
    <mergeCell ref="G105:H105"/>
    <mergeCell ref="C102:I102"/>
    <mergeCell ref="A1:L1"/>
    <mergeCell ref="A3:L3"/>
    <mergeCell ref="C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09"/>
  <sheetViews>
    <sheetView zoomScale="130" zoomScaleNormal="130" workbookViewId="0">
      <selection activeCell="E100" sqref="E100"/>
    </sheetView>
  </sheetViews>
  <sheetFormatPr baseColWidth="10" defaultColWidth="16.5703125" defaultRowHeight="18" x14ac:dyDescent="0.25"/>
  <cols>
    <col min="1" max="1" width="16.5703125" style="1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16.5703125" style="60"/>
    <col min="14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4" x14ac:dyDescent="0.25">
      <c r="A1" s="334" t="s">
        <v>52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x14ac:dyDescent="0.25">
      <c r="A4" s="3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x14ac:dyDescent="0.25">
      <c r="A5" s="3" t="s">
        <v>2</v>
      </c>
      <c r="B5" s="5"/>
      <c r="C5" s="5"/>
      <c r="D5" s="5"/>
      <c r="E5" s="6"/>
      <c r="F5" s="6"/>
      <c r="G5" s="6"/>
    </row>
    <row r="6" spans="1:14" x14ac:dyDescent="0.25">
      <c r="C6" s="335" t="s">
        <v>3</v>
      </c>
      <c r="D6" s="335"/>
      <c r="E6" s="336"/>
      <c r="F6" s="336"/>
      <c r="G6" s="336"/>
      <c r="H6" s="335" t="s">
        <v>4</v>
      </c>
      <c r="I6" s="335"/>
      <c r="J6" s="335"/>
      <c r="K6" s="335"/>
    </row>
    <row r="7" spans="1:14" x14ac:dyDescent="0.25">
      <c r="A7" s="337" t="s">
        <v>5</v>
      </c>
      <c r="B7" s="339" t="s">
        <v>6</v>
      </c>
      <c r="C7" s="339" t="s">
        <v>7</v>
      </c>
      <c r="D7" s="339" t="s">
        <v>8</v>
      </c>
      <c r="E7" s="340" t="s">
        <v>9</v>
      </c>
      <c r="F7" s="340" t="s">
        <v>10</v>
      </c>
      <c r="G7" s="337" t="s">
        <v>11</v>
      </c>
      <c r="H7" s="340" t="s">
        <v>12</v>
      </c>
      <c r="I7" s="340" t="s">
        <v>13</v>
      </c>
      <c r="J7" s="340" t="s">
        <v>14</v>
      </c>
      <c r="K7" s="340" t="s">
        <v>15</v>
      </c>
      <c r="L7" s="52" t="s">
        <v>16</v>
      </c>
    </row>
    <row r="8" spans="1:14" x14ac:dyDescent="0.25">
      <c r="A8" s="338"/>
      <c r="B8" s="339"/>
      <c r="C8" s="339"/>
      <c r="D8" s="339"/>
      <c r="E8" s="340"/>
      <c r="F8" s="340"/>
      <c r="G8" s="338"/>
      <c r="H8" s="340"/>
      <c r="I8" s="340"/>
      <c r="J8" s="340"/>
      <c r="K8" s="340"/>
      <c r="L8" s="8" t="s">
        <v>17</v>
      </c>
    </row>
    <row r="9" spans="1:14" s="17" customFormat="1" x14ac:dyDescent="0.25">
      <c r="A9" s="9" t="s">
        <v>18</v>
      </c>
      <c r="B9" s="10">
        <v>10284399.08</v>
      </c>
      <c r="C9" s="10">
        <v>4979944.7</v>
      </c>
      <c r="D9" s="11">
        <v>0</v>
      </c>
      <c r="E9" s="10">
        <v>2337104.7599999998</v>
      </c>
      <c r="F9" s="12">
        <f>+E9/C9</f>
        <v>0.46930335591879158</v>
      </c>
      <c r="G9" s="10">
        <f t="shared" ref="G9:G20" si="0">+C9+D9-E9</f>
        <v>2642839.9400000004</v>
      </c>
      <c r="H9" s="13">
        <f>191969.3+2302561.67</f>
        <v>2494530.9699999997</v>
      </c>
      <c r="I9" s="14">
        <f>152371.8+17400</f>
        <v>169771.8</v>
      </c>
      <c r="J9" s="14">
        <f>8854+12608.83</f>
        <v>21462.83</v>
      </c>
      <c r="K9" s="14">
        <f>H9+I9-J9</f>
        <v>2642839.9399999995</v>
      </c>
      <c r="L9" s="15">
        <f>+F9</f>
        <v>0.46930335591879158</v>
      </c>
      <c r="M9" s="61">
        <f>+K9-G9</f>
        <v>0</v>
      </c>
      <c r="N9" s="16"/>
    </row>
    <row r="10" spans="1:14" x14ac:dyDescent="0.2">
      <c r="A10" s="9" t="s">
        <v>20</v>
      </c>
      <c r="B10" s="10">
        <v>25204741</v>
      </c>
      <c r="C10" s="10">
        <v>6707433.0300000003</v>
      </c>
      <c r="D10" s="11">
        <v>0</v>
      </c>
      <c r="E10" s="10">
        <v>7247017.7800000003</v>
      </c>
      <c r="F10" s="12">
        <f t="shared" ref="F10:F15" si="1">+E10/C10</f>
        <v>1.0804457901534947</v>
      </c>
      <c r="G10" s="10">
        <f t="shared" si="0"/>
        <v>-539584.75</v>
      </c>
      <c r="H10" s="13">
        <f>70563.59-309773.58</f>
        <v>-239209.99000000002</v>
      </c>
      <c r="I10" s="14">
        <v>201152.37</v>
      </c>
      <c r="J10" s="14">
        <f>482422+2795.14+2981.48+13328.51</f>
        <v>501527.13</v>
      </c>
      <c r="K10" s="14">
        <f t="shared" ref="K10:K18" si="2">H10+I10-J10</f>
        <v>-539584.75</v>
      </c>
      <c r="L10" s="15">
        <f t="shared" ref="L10:L20" si="3">+F10</f>
        <v>1.0804457901534947</v>
      </c>
      <c r="M10" s="62">
        <f>+K10-G10</f>
        <v>0</v>
      </c>
      <c r="N10" s="18"/>
    </row>
    <row r="11" spans="1:14" x14ac:dyDescent="0.2">
      <c r="A11" s="9" t="s">
        <v>21</v>
      </c>
      <c r="B11" s="10"/>
      <c r="C11" s="10">
        <v>46443</v>
      </c>
      <c r="D11" s="11">
        <v>0</v>
      </c>
      <c r="E11" s="11">
        <v>0</v>
      </c>
      <c r="F11" s="12">
        <f t="shared" si="1"/>
        <v>0</v>
      </c>
      <c r="G11" s="10">
        <f t="shared" si="0"/>
        <v>46443</v>
      </c>
      <c r="H11" s="13">
        <v>47443</v>
      </c>
      <c r="I11" s="14">
        <v>0</v>
      </c>
      <c r="J11" s="14">
        <v>1000</v>
      </c>
      <c r="K11" s="14">
        <f t="shared" si="2"/>
        <v>46443</v>
      </c>
      <c r="L11" s="15">
        <f t="shared" si="3"/>
        <v>0</v>
      </c>
      <c r="M11" s="62">
        <f>+K11-G11</f>
        <v>0</v>
      </c>
    </row>
    <row r="12" spans="1:14" x14ac:dyDescent="0.2">
      <c r="A12" s="9" t="s">
        <v>22</v>
      </c>
      <c r="B12" s="10"/>
      <c r="C12" s="10">
        <v>97167</v>
      </c>
      <c r="D12" s="11">
        <v>0</v>
      </c>
      <c r="E12" s="11">
        <v>0</v>
      </c>
      <c r="F12" s="12">
        <f t="shared" si="1"/>
        <v>0</v>
      </c>
      <c r="G12" s="10">
        <f t="shared" si="0"/>
        <v>97167</v>
      </c>
      <c r="H12" s="13">
        <v>98167</v>
      </c>
      <c r="I12" s="14"/>
      <c r="J12" s="14">
        <v>1000</v>
      </c>
      <c r="K12" s="14">
        <f t="shared" si="2"/>
        <v>97167</v>
      </c>
      <c r="L12" s="15">
        <f t="shared" si="3"/>
        <v>0</v>
      </c>
      <c r="M12" s="62">
        <f>+K12-G12</f>
        <v>0</v>
      </c>
    </row>
    <row r="13" spans="1:14" x14ac:dyDescent="0.2">
      <c r="A13" s="9" t="s">
        <v>23</v>
      </c>
      <c r="B13" s="10"/>
      <c r="C13" s="10">
        <v>326829</v>
      </c>
      <c r="D13" s="11">
        <v>0</v>
      </c>
      <c r="E13" s="11">
        <v>0</v>
      </c>
      <c r="F13" s="12">
        <f t="shared" si="1"/>
        <v>0</v>
      </c>
      <c r="G13" s="10">
        <f t="shared" si="0"/>
        <v>326829</v>
      </c>
      <c r="H13" s="13">
        <v>327829</v>
      </c>
      <c r="I13" s="14"/>
      <c r="J13" s="14">
        <v>1000</v>
      </c>
      <c r="K13" s="14">
        <f t="shared" si="2"/>
        <v>326829</v>
      </c>
      <c r="L13" s="15">
        <f t="shared" si="3"/>
        <v>0</v>
      </c>
      <c r="M13" s="62">
        <f t="shared" ref="M13:M19" si="4">+K13-G13</f>
        <v>0</v>
      </c>
    </row>
    <row r="14" spans="1:14" x14ac:dyDescent="0.2">
      <c r="A14" s="9" t="s">
        <v>24</v>
      </c>
      <c r="B14" s="10">
        <v>12977087</v>
      </c>
      <c r="C14" s="10">
        <v>3490915.11</v>
      </c>
      <c r="D14" s="11">
        <v>0</v>
      </c>
      <c r="E14" s="10">
        <v>2879952.43</v>
      </c>
      <c r="F14" s="12">
        <f t="shared" si="1"/>
        <v>0.82498495072256295</v>
      </c>
      <c r="G14" s="10">
        <f t="shared" si="0"/>
        <v>610962.6799999997</v>
      </c>
      <c r="H14" s="13">
        <v>786932.52</v>
      </c>
      <c r="I14" s="14">
        <f>553</f>
        <v>553</v>
      </c>
      <c r="J14" s="14">
        <f>163237+13289</f>
        <v>176526</v>
      </c>
      <c r="K14" s="14">
        <f t="shared" si="2"/>
        <v>610959.52</v>
      </c>
      <c r="L14" s="15">
        <f t="shared" si="3"/>
        <v>0.82498495072256295</v>
      </c>
      <c r="M14" s="62">
        <f t="shared" si="4"/>
        <v>-3.1599999996833503</v>
      </c>
    </row>
    <row r="15" spans="1:14" x14ac:dyDescent="0.2">
      <c r="A15" s="9" t="s">
        <v>25</v>
      </c>
      <c r="B15" s="10"/>
      <c r="C15" s="10">
        <v>153441</v>
      </c>
      <c r="D15" s="11">
        <v>0</v>
      </c>
      <c r="E15" s="10">
        <v>9717.48</v>
      </c>
      <c r="F15" s="12">
        <f t="shared" si="1"/>
        <v>6.3330400610006443E-2</v>
      </c>
      <c r="G15" s="10">
        <f t="shared" si="0"/>
        <v>143723.51999999999</v>
      </c>
      <c r="H15" s="13">
        <v>144723.51999999999</v>
      </c>
      <c r="I15" s="14">
        <v>0</v>
      </c>
      <c r="J15" s="14">
        <v>1000</v>
      </c>
      <c r="K15" s="14">
        <f t="shared" si="2"/>
        <v>143723.51999999999</v>
      </c>
      <c r="L15" s="15">
        <f t="shared" si="3"/>
        <v>6.3330400610006443E-2</v>
      </c>
      <c r="M15" s="62">
        <f t="shared" si="4"/>
        <v>0</v>
      </c>
    </row>
    <row r="16" spans="1:14" x14ac:dyDescent="0.2">
      <c r="A16" s="9" t="s">
        <v>53</v>
      </c>
      <c r="B16" s="10"/>
      <c r="C16" s="11">
        <v>0</v>
      </c>
      <c r="D16" s="11"/>
      <c r="E16" s="11">
        <v>0</v>
      </c>
      <c r="F16" s="12">
        <v>0</v>
      </c>
      <c r="G16" s="14">
        <f t="shared" si="0"/>
        <v>0</v>
      </c>
      <c r="H16" s="11"/>
      <c r="I16" s="14">
        <v>0</v>
      </c>
      <c r="J16" s="14">
        <v>0</v>
      </c>
      <c r="K16" s="14">
        <f t="shared" si="2"/>
        <v>0</v>
      </c>
      <c r="L16" s="15">
        <f t="shared" si="3"/>
        <v>0</v>
      </c>
      <c r="M16" s="64">
        <f t="shared" si="4"/>
        <v>0</v>
      </c>
    </row>
    <row r="17" spans="1:15" x14ac:dyDescent="0.2">
      <c r="A17" s="9" t="s">
        <v>27</v>
      </c>
      <c r="B17" s="10"/>
      <c r="C17" s="11">
        <v>0</v>
      </c>
      <c r="D17" s="11">
        <v>0</v>
      </c>
      <c r="E17" s="11">
        <v>0</v>
      </c>
      <c r="F17" s="12">
        <v>0</v>
      </c>
      <c r="G17" s="14">
        <f t="shared" si="0"/>
        <v>0</v>
      </c>
      <c r="H17" s="11"/>
      <c r="I17" s="14">
        <v>0</v>
      </c>
      <c r="J17" s="14">
        <v>0</v>
      </c>
      <c r="K17" s="14">
        <f t="shared" si="2"/>
        <v>0</v>
      </c>
      <c r="L17" s="15">
        <f t="shared" si="3"/>
        <v>0</v>
      </c>
      <c r="M17" s="64">
        <f t="shared" si="4"/>
        <v>0</v>
      </c>
    </row>
    <row r="18" spans="1:15" x14ac:dyDescent="0.2">
      <c r="A18" s="9" t="s">
        <v>28</v>
      </c>
      <c r="B18" s="10"/>
      <c r="C18" s="10">
        <v>11943.06</v>
      </c>
      <c r="D18" s="11">
        <v>0</v>
      </c>
      <c r="E18" s="11">
        <v>0</v>
      </c>
      <c r="F18" s="12">
        <f>+E18/C18</f>
        <v>0</v>
      </c>
      <c r="G18" s="10">
        <f t="shared" si="0"/>
        <v>11943.06</v>
      </c>
      <c r="H18" s="13">
        <v>12943.06</v>
      </c>
      <c r="I18" s="14">
        <v>0</v>
      </c>
      <c r="J18" s="14">
        <v>1000</v>
      </c>
      <c r="K18" s="14">
        <f t="shared" si="2"/>
        <v>11943.06</v>
      </c>
      <c r="L18" s="15">
        <f t="shared" si="3"/>
        <v>0</v>
      </c>
      <c r="M18" s="63">
        <f t="shared" si="4"/>
        <v>0</v>
      </c>
      <c r="N18" s="18"/>
    </row>
    <row r="19" spans="1:15" x14ac:dyDescent="0.2">
      <c r="A19" s="9" t="s">
        <v>29</v>
      </c>
      <c r="B19" s="10"/>
      <c r="C19" s="10">
        <v>8391819</v>
      </c>
      <c r="D19" s="11">
        <v>0</v>
      </c>
      <c r="E19" s="11">
        <v>0</v>
      </c>
      <c r="F19" s="12">
        <f>+E19/C19</f>
        <v>0</v>
      </c>
      <c r="G19" s="10">
        <f t="shared" si="0"/>
        <v>8391819</v>
      </c>
      <c r="H19" s="13">
        <v>8392819</v>
      </c>
      <c r="I19" s="14">
        <v>0</v>
      </c>
      <c r="J19" s="14">
        <v>1000</v>
      </c>
      <c r="K19" s="14">
        <f>H19+I19-J19</f>
        <v>8391819</v>
      </c>
      <c r="L19" s="15">
        <f t="shared" si="3"/>
        <v>0</v>
      </c>
      <c r="M19" s="62">
        <f t="shared" si="4"/>
        <v>0</v>
      </c>
      <c r="N19" s="18"/>
      <c r="O19" s="18"/>
    </row>
    <row r="20" spans="1:15" x14ac:dyDescent="0.2">
      <c r="A20" s="9" t="s">
        <v>30</v>
      </c>
      <c r="B20" s="10">
        <v>19272339</v>
      </c>
      <c r="C20" s="10">
        <v>5292744</v>
      </c>
      <c r="D20" s="11">
        <v>0</v>
      </c>
      <c r="E20" s="10">
        <v>5243172.92</v>
      </c>
      <c r="F20" s="12">
        <f>+E20/C20</f>
        <v>0.99063414365025027</v>
      </c>
      <c r="G20" s="10">
        <f t="shared" si="0"/>
        <v>49571.080000000075</v>
      </c>
      <c r="H20" s="13">
        <v>90983.08</v>
      </c>
      <c r="I20" s="14">
        <v>3970</v>
      </c>
      <c r="J20" s="14">
        <f>44952+430</f>
        <v>45382</v>
      </c>
      <c r="K20" s="14">
        <f>H20+I20-J20</f>
        <v>49571.08</v>
      </c>
      <c r="L20" s="15">
        <f t="shared" si="3"/>
        <v>0.99063414365025027</v>
      </c>
      <c r="M20" s="61">
        <f>+K20-G20</f>
        <v>-7.2759576141834259E-11</v>
      </c>
      <c r="N20" s="19">
        <v>42855</v>
      </c>
      <c r="O20" s="18"/>
    </row>
    <row r="21" spans="1:15" s="5" customFormat="1" x14ac:dyDescent="0.2">
      <c r="A21" s="20" t="s">
        <v>51</v>
      </c>
      <c r="B21" s="21">
        <f t="shared" ref="B21:K21" si="5">SUM(B9:B19)</f>
        <v>48466227.079999998</v>
      </c>
      <c r="C21" s="21">
        <f t="shared" si="5"/>
        <v>24205934.899999999</v>
      </c>
      <c r="D21" s="21">
        <f t="shared" si="5"/>
        <v>0</v>
      </c>
      <c r="E21" s="21">
        <f t="shared" si="5"/>
        <v>12473792.449999999</v>
      </c>
      <c r="F21" s="21">
        <f t="shared" si="5"/>
        <v>2.4380644974048558</v>
      </c>
      <c r="G21" s="21">
        <f t="shared" si="5"/>
        <v>11732142.449999999</v>
      </c>
      <c r="H21" s="21">
        <f t="shared" si="5"/>
        <v>12066178.08</v>
      </c>
      <c r="I21" s="21">
        <f t="shared" si="5"/>
        <v>371477.17</v>
      </c>
      <c r="J21" s="21">
        <f t="shared" si="5"/>
        <v>705515.96</v>
      </c>
      <c r="K21" s="21">
        <f t="shared" si="5"/>
        <v>11732139.289999999</v>
      </c>
      <c r="L21" s="23"/>
      <c r="M21" s="62">
        <f>+K21-G21</f>
        <v>-3.1600000001490116</v>
      </c>
    </row>
    <row r="22" spans="1:15" s="17" customFormat="1" x14ac:dyDescent="0.25">
      <c r="A22" s="9" t="s">
        <v>18</v>
      </c>
      <c r="B22" s="10">
        <v>9497181.3399999999</v>
      </c>
      <c r="C22" s="10">
        <v>9497181.3399999999</v>
      </c>
      <c r="D22" s="11">
        <v>0</v>
      </c>
      <c r="E22" s="10">
        <v>8522902.6999999993</v>
      </c>
      <c r="F22" s="12">
        <f>+E22/C22</f>
        <v>0.89741391628518696</v>
      </c>
      <c r="G22" s="10">
        <f>+C22+D22-E22</f>
        <v>974278.6400000006</v>
      </c>
      <c r="H22" s="13">
        <f>781984.35-0.47</f>
        <v>781983.88</v>
      </c>
      <c r="I22" s="14">
        <f>22013.2+172259.48</f>
        <v>194272.68000000002</v>
      </c>
      <c r="J22" s="14">
        <f>-4302.52+6280.44</f>
        <v>1977.9199999999992</v>
      </c>
      <c r="K22" s="14">
        <f>H22+I22-J22</f>
        <v>974278.64</v>
      </c>
      <c r="L22" s="15">
        <f>+F22</f>
        <v>0.89741391628518696</v>
      </c>
      <c r="M22" s="65">
        <f t="shared" ref="M22:M33" si="6">+K22-G22</f>
        <v>0</v>
      </c>
    </row>
    <row r="23" spans="1:15" x14ac:dyDescent="0.2">
      <c r="A23" s="9" t="s">
        <v>20</v>
      </c>
      <c r="B23" s="10">
        <v>28461059.77</v>
      </c>
      <c r="C23" s="10">
        <f>+B23</f>
        <v>28461059.77</v>
      </c>
      <c r="D23" s="11">
        <v>0</v>
      </c>
      <c r="E23" s="10">
        <v>27479996.23</v>
      </c>
      <c r="F23" s="12">
        <f t="shared" ref="F23:F35" si="7">+E23/C23</f>
        <v>0.96552962019235455</v>
      </c>
      <c r="G23" s="10">
        <f>+C23+D23-E23</f>
        <v>981063.53999999911</v>
      </c>
      <c r="H23" s="13">
        <f>170500+1799451.6</f>
        <v>1969951.6</v>
      </c>
      <c r="I23" s="14">
        <v>1162</v>
      </c>
      <c r="J23" s="14">
        <f>829134.16+160187.53+719.87</f>
        <v>990041.56</v>
      </c>
      <c r="K23" s="14">
        <f t="shared" ref="K23:K86" si="8">H23+I23-J23</f>
        <v>981072.04</v>
      </c>
      <c r="L23" s="15">
        <f t="shared" ref="L23:L38" si="9">+F23</f>
        <v>0.96552962019235455</v>
      </c>
      <c r="M23" s="62">
        <f t="shared" si="6"/>
        <v>8.5000000009313226</v>
      </c>
      <c r="N23" s="18"/>
    </row>
    <row r="24" spans="1:15" x14ac:dyDescent="0.2">
      <c r="A24" s="9" t="s">
        <v>21</v>
      </c>
      <c r="B24" s="10">
        <v>266576.99</v>
      </c>
      <c r="C24" s="10">
        <v>266576.99</v>
      </c>
      <c r="D24" s="11">
        <v>0</v>
      </c>
      <c r="E24" s="10">
        <v>80893</v>
      </c>
      <c r="F24" s="12">
        <f t="shared" si="7"/>
        <v>0.30345079670979858</v>
      </c>
      <c r="G24" s="10">
        <f>+C24+D24-E24</f>
        <v>185683.99</v>
      </c>
      <c r="H24" s="13">
        <v>185683.99</v>
      </c>
      <c r="I24" s="14">
        <v>0</v>
      </c>
      <c r="J24" s="14">
        <v>0</v>
      </c>
      <c r="K24" s="14">
        <f t="shared" si="8"/>
        <v>185683.99</v>
      </c>
      <c r="L24" s="15">
        <f t="shared" si="9"/>
        <v>0.30345079670979858</v>
      </c>
      <c r="M24" s="65">
        <f t="shared" si="6"/>
        <v>0</v>
      </c>
    </row>
    <row r="25" spans="1:15" x14ac:dyDescent="0.2">
      <c r="A25" s="9" t="s">
        <v>22</v>
      </c>
      <c r="B25" s="10">
        <v>757786.85</v>
      </c>
      <c r="C25" s="10">
        <v>757786.85</v>
      </c>
      <c r="D25" s="10">
        <v>149.51</v>
      </c>
      <c r="E25" s="10">
        <v>201977</v>
      </c>
      <c r="F25" s="12">
        <f t="shared" si="7"/>
        <v>0.26653537205086103</v>
      </c>
      <c r="G25" s="10">
        <f t="shared" ref="G25:G33" si="10">+C25+D25-E25</f>
        <v>555959.36</v>
      </c>
      <c r="H25" s="13">
        <v>555959.36</v>
      </c>
      <c r="I25" s="14">
        <v>0</v>
      </c>
      <c r="J25" s="14">
        <v>0</v>
      </c>
      <c r="K25" s="14">
        <f t="shared" si="8"/>
        <v>555959.36</v>
      </c>
      <c r="L25" s="15">
        <f t="shared" si="9"/>
        <v>0.26653537205086103</v>
      </c>
      <c r="M25" s="65">
        <f t="shared" si="6"/>
        <v>0</v>
      </c>
    </row>
    <row r="26" spans="1:15" x14ac:dyDescent="0.2">
      <c r="A26" s="9" t="s">
        <v>23</v>
      </c>
      <c r="B26" s="10">
        <v>919872.2</v>
      </c>
      <c r="C26" s="10">
        <v>919872.2</v>
      </c>
      <c r="D26" s="10">
        <v>408.58</v>
      </c>
      <c r="E26" s="10">
        <v>788192.61</v>
      </c>
      <c r="F26" s="12">
        <f t="shared" si="7"/>
        <v>0.85685012548482287</v>
      </c>
      <c r="G26" s="10">
        <f t="shared" si="10"/>
        <v>132088.16999999993</v>
      </c>
      <c r="H26" s="13">
        <v>132088.17000000001</v>
      </c>
      <c r="I26" s="14">
        <v>0</v>
      </c>
      <c r="J26" s="14">
        <v>0</v>
      </c>
      <c r="K26" s="14">
        <f t="shared" si="8"/>
        <v>132088.17000000001</v>
      </c>
      <c r="L26" s="15">
        <f t="shared" si="9"/>
        <v>0.85685012548482287</v>
      </c>
      <c r="M26" s="65">
        <f t="shared" si="6"/>
        <v>0</v>
      </c>
    </row>
    <row r="27" spans="1:15" x14ac:dyDescent="0.2">
      <c r="A27" s="9" t="s">
        <v>24</v>
      </c>
      <c r="B27" s="10">
        <v>0</v>
      </c>
      <c r="C27" s="10">
        <v>423848.18</v>
      </c>
      <c r="D27" s="11">
        <v>0</v>
      </c>
      <c r="E27" s="10">
        <v>0</v>
      </c>
      <c r="F27" s="12">
        <f t="shared" si="7"/>
        <v>0</v>
      </c>
      <c r="G27" s="10">
        <f>+C27+D27-E27</f>
        <v>423848.18</v>
      </c>
      <c r="H27" s="13">
        <v>720930.97</v>
      </c>
      <c r="I27" s="14">
        <v>1120</v>
      </c>
      <c r="J27" s="14">
        <f>287062+8756.79+2388</f>
        <v>298206.78999999998</v>
      </c>
      <c r="K27" s="14">
        <f t="shared" si="8"/>
        <v>423844.18</v>
      </c>
      <c r="L27" s="15">
        <f t="shared" si="9"/>
        <v>0</v>
      </c>
      <c r="M27" s="61">
        <f t="shared" si="6"/>
        <v>-4</v>
      </c>
    </row>
    <row r="28" spans="1:15" x14ac:dyDescent="0.2">
      <c r="A28" s="9" t="s">
        <v>25</v>
      </c>
      <c r="B28" s="10">
        <v>868753.03</v>
      </c>
      <c r="C28" s="10">
        <v>868753.03</v>
      </c>
      <c r="D28" s="10">
        <v>131.31</v>
      </c>
      <c r="E28" s="10">
        <v>542712.97</v>
      </c>
      <c r="F28" s="12">
        <f t="shared" si="7"/>
        <v>0.624703398156781</v>
      </c>
      <c r="G28" s="10">
        <f t="shared" si="10"/>
        <v>326171.37000000011</v>
      </c>
      <c r="H28" s="13">
        <v>326171.37</v>
      </c>
      <c r="I28" s="14">
        <v>0</v>
      </c>
      <c r="J28" s="14">
        <v>0</v>
      </c>
      <c r="K28" s="14">
        <f t="shared" si="8"/>
        <v>326171.37</v>
      </c>
      <c r="L28" s="15">
        <f t="shared" si="9"/>
        <v>0.624703398156781</v>
      </c>
      <c r="M28" s="65">
        <f t="shared" si="6"/>
        <v>0</v>
      </c>
    </row>
    <row r="29" spans="1:15" x14ac:dyDescent="0.2">
      <c r="A29" s="9" t="s">
        <v>26</v>
      </c>
      <c r="B29" s="10">
        <v>0</v>
      </c>
      <c r="C29" s="10">
        <v>0</v>
      </c>
      <c r="D29" s="11">
        <v>0</v>
      </c>
      <c r="E29" s="10">
        <v>0</v>
      </c>
      <c r="F29" s="12">
        <v>0</v>
      </c>
      <c r="G29" s="14">
        <f t="shared" si="10"/>
        <v>0</v>
      </c>
      <c r="H29" s="11">
        <v>0</v>
      </c>
      <c r="I29" s="14">
        <v>0</v>
      </c>
      <c r="J29" s="14">
        <v>0</v>
      </c>
      <c r="K29" s="14">
        <f t="shared" si="8"/>
        <v>0</v>
      </c>
      <c r="L29" s="15">
        <f t="shared" si="9"/>
        <v>0</v>
      </c>
      <c r="M29" s="65">
        <f t="shared" si="6"/>
        <v>0</v>
      </c>
    </row>
    <row r="30" spans="1:15" x14ac:dyDescent="0.2">
      <c r="A30" s="9" t="s">
        <v>27</v>
      </c>
      <c r="B30" s="10">
        <v>0</v>
      </c>
      <c r="C30" s="10">
        <v>0</v>
      </c>
      <c r="D30" s="11">
        <v>0</v>
      </c>
      <c r="E30" s="10">
        <v>0</v>
      </c>
      <c r="F30" s="12">
        <v>0</v>
      </c>
      <c r="G30" s="14">
        <f t="shared" si="10"/>
        <v>0</v>
      </c>
      <c r="H30" s="11">
        <v>0</v>
      </c>
      <c r="I30" s="14">
        <v>0</v>
      </c>
      <c r="J30" s="14">
        <v>0</v>
      </c>
      <c r="K30" s="14">
        <f t="shared" si="8"/>
        <v>0</v>
      </c>
      <c r="L30" s="15">
        <f t="shared" si="9"/>
        <v>0</v>
      </c>
      <c r="M30" s="65">
        <f t="shared" si="6"/>
        <v>0</v>
      </c>
    </row>
    <row r="31" spans="1:15" x14ac:dyDescent="0.2">
      <c r="A31" s="9" t="s">
        <v>27</v>
      </c>
      <c r="B31" s="10">
        <v>573447.68000000005</v>
      </c>
      <c r="C31" s="10">
        <v>573447.68999999994</v>
      </c>
      <c r="D31" s="11">
        <v>0</v>
      </c>
      <c r="E31" s="10">
        <v>569680.31999999995</v>
      </c>
      <c r="F31" s="12">
        <f t="shared" si="7"/>
        <v>0.99343031619850108</v>
      </c>
      <c r="G31" s="10">
        <f t="shared" si="10"/>
        <v>3767.3699999999953</v>
      </c>
      <c r="H31" s="13">
        <v>3767.37</v>
      </c>
      <c r="I31" s="14">
        <v>0</v>
      </c>
      <c r="J31" s="14">
        <v>0</v>
      </c>
      <c r="K31" s="14">
        <f t="shared" si="8"/>
        <v>3767.37</v>
      </c>
      <c r="L31" s="15">
        <f t="shared" si="9"/>
        <v>0.99343031619850108</v>
      </c>
      <c r="M31" s="65">
        <f t="shared" si="6"/>
        <v>4.5474735088646412E-12</v>
      </c>
    </row>
    <row r="32" spans="1:15" x14ac:dyDescent="0.2">
      <c r="A32" s="9" t="s">
        <v>28</v>
      </c>
      <c r="B32" s="10">
        <v>36484.65</v>
      </c>
      <c r="C32" s="10">
        <v>36484.65</v>
      </c>
      <c r="D32" s="11">
        <v>0</v>
      </c>
      <c r="E32" s="10">
        <v>0</v>
      </c>
      <c r="F32" s="12">
        <f t="shared" si="7"/>
        <v>0</v>
      </c>
      <c r="G32" s="10">
        <f t="shared" si="10"/>
        <v>36484.65</v>
      </c>
      <c r="H32" s="13">
        <v>36484.65</v>
      </c>
      <c r="I32" s="14">
        <v>0</v>
      </c>
      <c r="J32" s="14">
        <v>0</v>
      </c>
      <c r="K32" s="14">
        <f t="shared" si="8"/>
        <v>36484.65</v>
      </c>
      <c r="L32" s="15">
        <f t="shared" si="9"/>
        <v>0</v>
      </c>
      <c r="M32" s="65">
        <f t="shared" si="6"/>
        <v>0</v>
      </c>
    </row>
    <row r="33" spans="1:15" x14ac:dyDescent="0.2">
      <c r="A33" s="9" t="s">
        <v>29</v>
      </c>
      <c r="B33" s="10">
        <v>25802087</v>
      </c>
      <c r="C33" s="10">
        <v>25802087</v>
      </c>
      <c r="D33" s="45">
        <f>1948.34+11855.21+17411.8+24901.03+30826.95+1275.36+39471.97+28017.47</f>
        <v>155708.13</v>
      </c>
      <c r="E33" s="10">
        <v>21535015.98</v>
      </c>
      <c r="F33" s="12">
        <f t="shared" si="7"/>
        <v>0.83462302797444254</v>
      </c>
      <c r="G33" s="10">
        <f t="shared" si="10"/>
        <v>4422779.1499999985</v>
      </c>
      <c r="H33" s="13">
        <f>4256662.33+280000</f>
        <v>4536662.33</v>
      </c>
      <c r="I33" s="14">
        <f>152805.87-30099.8</f>
        <v>122706.06999999999</v>
      </c>
      <c r="J33" s="14">
        <f>20016.25+101234.5+88489.25+27754.43-905.18</f>
        <v>236589.25</v>
      </c>
      <c r="K33" s="14">
        <f>H33+I33-J33</f>
        <v>4422779.1500000004</v>
      </c>
      <c r="L33" s="15">
        <f t="shared" si="9"/>
        <v>0.83462302797444254</v>
      </c>
      <c r="M33" s="65">
        <f t="shared" si="6"/>
        <v>0</v>
      </c>
      <c r="N33" s="18"/>
      <c r="O33" s="18"/>
    </row>
    <row r="34" spans="1:15" x14ac:dyDescent="0.2">
      <c r="A34" s="9" t="s">
        <v>30</v>
      </c>
      <c r="B34" s="10">
        <v>0</v>
      </c>
      <c r="C34" s="10">
        <f>1296554.55-1984</f>
        <v>1294570.55</v>
      </c>
      <c r="D34" s="10">
        <v>0</v>
      </c>
      <c r="E34" s="10">
        <v>1101765.3</v>
      </c>
      <c r="F34" s="12">
        <f t="shared" si="7"/>
        <v>0.85106624741309</v>
      </c>
      <c r="G34" s="10">
        <f>+C34+D34-E34</f>
        <v>192805.25</v>
      </c>
      <c r="H34" s="13">
        <v>484505.73</v>
      </c>
      <c r="I34" s="14">
        <v>0</v>
      </c>
      <c r="J34" s="14">
        <f>117121+174579.48</f>
        <v>291700.47999999998</v>
      </c>
      <c r="K34" s="14">
        <f>H34+I34-J34</f>
        <v>192805.25</v>
      </c>
      <c r="L34" s="15">
        <f t="shared" si="9"/>
        <v>0.85106624741309</v>
      </c>
      <c r="M34" s="65">
        <f>+K34-G34</f>
        <v>0</v>
      </c>
      <c r="N34" s="19"/>
      <c r="O34" s="18"/>
    </row>
    <row r="35" spans="1:15" x14ac:dyDescent="0.2">
      <c r="A35" s="9" t="s">
        <v>31</v>
      </c>
      <c r="B35" s="10">
        <v>700000</v>
      </c>
      <c r="C35" s="10">
        <v>700000</v>
      </c>
      <c r="D35" s="11">
        <v>0</v>
      </c>
      <c r="E35" s="10">
        <v>700000</v>
      </c>
      <c r="F35" s="12">
        <f t="shared" si="7"/>
        <v>1</v>
      </c>
      <c r="G35" s="11">
        <v>0</v>
      </c>
      <c r="H35" s="13">
        <v>9956.9</v>
      </c>
      <c r="I35" s="14">
        <v>0</v>
      </c>
      <c r="J35" s="14">
        <f>6034.48+3017.24+905.18</f>
        <v>9956.9</v>
      </c>
      <c r="K35" s="14">
        <f t="shared" si="8"/>
        <v>0</v>
      </c>
      <c r="L35" s="15">
        <f t="shared" si="9"/>
        <v>1</v>
      </c>
      <c r="M35" s="65">
        <f t="shared" ref="M35:M98" si="11">+K35-G35</f>
        <v>0</v>
      </c>
    </row>
    <row r="36" spans="1:15" x14ac:dyDescent="0.2">
      <c r="A36" s="9">
        <v>3001</v>
      </c>
      <c r="B36" s="11">
        <v>0</v>
      </c>
      <c r="C36" s="11">
        <v>0</v>
      </c>
      <c r="D36" s="11">
        <v>0</v>
      </c>
      <c r="E36" s="10">
        <v>0</v>
      </c>
      <c r="F36" s="12">
        <v>0</v>
      </c>
      <c r="G36" s="11">
        <v>0</v>
      </c>
      <c r="H36" s="11">
        <v>0</v>
      </c>
      <c r="I36" s="14">
        <v>0</v>
      </c>
      <c r="J36" s="14">
        <v>0</v>
      </c>
      <c r="K36" s="14">
        <f t="shared" si="8"/>
        <v>0</v>
      </c>
      <c r="L36" s="15">
        <f t="shared" si="9"/>
        <v>0</v>
      </c>
      <c r="M36" s="65">
        <f t="shared" si="11"/>
        <v>0</v>
      </c>
    </row>
    <row r="37" spans="1:15" x14ac:dyDescent="0.2">
      <c r="A37" s="9">
        <v>3002</v>
      </c>
      <c r="B37" s="11">
        <v>0</v>
      </c>
      <c r="C37" s="11">
        <v>0</v>
      </c>
      <c r="D37" s="11">
        <v>0</v>
      </c>
      <c r="E37" s="10">
        <v>0</v>
      </c>
      <c r="F37" s="12">
        <v>0</v>
      </c>
      <c r="G37" s="11">
        <v>0</v>
      </c>
      <c r="H37" s="11">
        <v>0</v>
      </c>
      <c r="I37" s="14">
        <v>0</v>
      </c>
      <c r="J37" s="14">
        <v>0</v>
      </c>
      <c r="K37" s="14">
        <f t="shared" si="8"/>
        <v>0</v>
      </c>
      <c r="L37" s="15">
        <f t="shared" si="9"/>
        <v>0</v>
      </c>
      <c r="M37" s="65">
        <f t="shared" si="11"/>
        <v>0</v>
      </c>
    </row>
    <row r="38" spans="1:15" x14ac:dyDescent="0.2">
      <c r="A38" s="9" t="s">
        <v>32</v>
      </c>
      <c r="B38" s="10">
        <v>1483500</v>
      </c>
      <c r="C38" s="10">
        <v>1483500</v>
      </c>
      <c r="D38" s="11">
        <v>0</v>
      </c>
      <c r="E38" s="10">
        <v>1483500</v>
      </c>
      <c r="F38" s="12">
        <f>+E38/C38</f>
        <v>1</v>
      </c>
      <c r="G38" s="11">
        <v>0</v>
      </c>
      <c r="H38" s="13">
        <v>21101.51</v>
      </c>
      <c r="I38" s="14">
        <v>0</v>
      </c>
      <c r="J38" s="14">
        <f>12788.79+6394.4+1918.32</f>
        <v>21101.510000000002</v>
      </c>
      <c r="K38" s="14">
        <f t="shared" si="8"/>
        <v>0</v>
      </c>
      <c r="L38" s="15">
        <f t="shared" si="9"/>
        <v>1</v>
      </c>
      <c r="M38" s="65">
        <f t="shared" si="11"/>
        <v>0</v>
      </c>
    </row>
    <row r="39" spans="1:15" s="5" customFormat="1" x14ac:dyDescent="0.2">
      <c r="A39" s="20" t="s">
        <v>33</v>
      </c>
      <c r="B39" s="21">
        <f>SUM(B22:B38)</f>
        <v>69366749.510000005</v>
      </c>
      <c r="C39" s="21">
        <f>SUM(C22:C38)</f>
        <v>71085168.25</v>
      </c>
      <c r="D39" s="21">
        <f>SUM(D22:D38)</f>
        <v>156397.53</v>
      </c>
      <c r="E39" s="21">
        <f>SUM(E22:E38)</f>
        <v>63006636.109999999</v>
      </c>
      <c r="F39" s="22">
        <f>+E39/C39</f>
        <v>0.88635418134499522</v>
      </c>
      <c r="G39" s="21">
        <f>SUM(G22:G38)</f>
        <v>8234929.6699999981</v>
      </c>
      <c r="H39" s="21">
        <f>SUM(H22:H38)</f>
        <v>9765247.8300000019</v>
      </c>
      <c r="I39" s="21">
        <f>SUM(I22:I38)</f>
        <v>319260.75</v>
      </c>
      <c r="J39" s="21">
        <f>SUM(J22:J38)</f>
        <v>1849574.41</v>
      </c>
      <c r="K39" s="21">
        <f>SUM(K22:K38)</f>
        <v>8234934.1699999999</v>
      </c>
      <c r="L39" s="23"/>
      <c r="M39" s="65">
        <f t="shared" si="11"/>
        <v>4.5000000018626451</v>
      </c>
    </row>
    <row r="40" spans="1:15" x14ac:dyDescent="0.2">
      <c r="A40" s="9" t="s">
        <v>18</v>
      </c>
      <c r="B40" s="10">
        <v>0</v>
      </c>
      <c r="C40" s="10">
        <v>0</v>
      </c>
      <c r="D40" s="13"/>
      <c r="E40" s="10">
        <v>0</v>
      </c>
      <c r="F40" s="12">
        <v>0</v>
      </c>
      <c r="G40" s="10">
        <v>4283.6000000000004</v>
      </c>
      <c r="H40" s="10">
        <v>32268.68</v>
      </c>
      <c r="I40" s="10">
        <v>0</v>
      </c>
      <c r="J40" s="10">
        <v>27985.08</v>
      </c>
      <c r="K40" s="10">
        <f t="shared" si="8"/>
        <v>4283.5999999999985</v>
      </c>
      <c r="L40" s="15"/>
      <c r="M40" s="65">
        <f t="shared" si="11"/>
        <v>0</v>
      </c>
    </row>
    <row r="41" spans="1:15" x14ac:dyDescent="0.2">
      <c r="A41" s="9" t="s">
        <v>20</v>
      </c>
      <c r="B41" s="10">
        <v>0</v>
      </c>
      <c r="C41" s="10">
        <v>0</v>
      </c>
      <c r="D41" s="13"/>
      <c r="E41" s="10">
        <v>0</v>
      </c>
      <c r="F41" s="12">
        <v>0</v>
      </c>
      <c r="G41" s="10">
        <v>45477.47</v>
      </c>
      <c r="H41" s="10">
        <v>45477.47</v>
      </c>
      <c r="I41" s="10">
        <v>0</v>
      </c>
      <c r="J41" s="10">
        <v>0</v>
      </c>
      <c r="K41" s="10">
        <f t="shared" si="8"/>
        <v>45477.47</v>
      </c>
      <c r="L41" s="15"/>
      <c r="M41" s="65">
        <f t="shared" si="11"/>
        <v>0</v>
      </c>
    </row>
    <row r="42" spans="1:15" x14ac:dyDescent="0.2">
      <c r="A42" s="9" t="s">
        <v>25</v>
      </c>
      <c r="B42" s="10">
        <v>0</v>
      </c>
      <c r="C42" s="10">
        <v>0</v>
      </c>
      <c r="D42" s="13"/>
      <c r="E42" s="10">
        <v>0</v>
      </c>
      <c r="F42" s="12">
        <v>0</v>
      </c>
      <c r="G42" s="10">
        <v>45082.35</v>
      </c>
      <c r="H42" s="10">
        <v>45082.35</v>
      </c>
      <c r="I42" s="10">
        <v>0</v>
      </c>
      <c r="J42" s="10">
        <v>0</v>
      </c>
      <c r="K42" s="10">
        <f t="shared" si="8"/>
        <v>45082.35</v>
      </c>
      <c r="L42" s="15"/>
      <c r="M42" s="65">
        <f t="shared" si="11"/>
        <v>0</v>
      </c>
    </row>
    <row r="43" spans="1:15" x14ac:dyDescent="0.2">
      <c r="A43" s="9" t="s">
        <v>26</v>
      </c>
      <c r="B43" s="10">
        <v>0</v>
      </c>
      <c r="C43" s="10">
        <v>0</v>
      </c>
      <c r="D43" s="13"/>
      <c r="E43" s="10">
        <v>0</v>
      </c>
      <c r="F43" s="12">
        <v>0</v>
      </c>
      <c r="G43" s="10">
        <v>220218.16</v>
      </c>
      <c r="H43" s="10">
        <v>20218.16</v>
      </c>
      <c r="I43" s="10">
        <v>200000</v>
      </c>
      <c r="J43" s="10">
        <v>0</v>
      </c>
      <c r="K43" s="10">
        <f t="shared" si="8"/>
        <v>220218.16</v>
      </c>
      <c r="L43" s="15"/>
      <c r="M43" s="65">
        <f t="shared" si="11"/>
        <v>0</v>
      </c>
    </row>
    <row r="44" spans="1:15" x14ac:dyDescent="0.2">
      <c r="A44" s="9" t="s">
        <v>29</v>
      </c>
      <c r="B44" s="10">
        <v>0</v>
      </c>
      <c r="C44" s="10">
        <v>0</v>
      </c>
      <c r="D44" s="11">
        <v>0</v>
      </c>
      <c r="E44" s="10">
        <v>0</v>
      </c>
      <c r="F44" s="12">
        <v>0</v>
      </c>
      <c r="G44" s="10">
        <v>2494385.7599999998</v>
      </c>
      <c r="H44" s="10">
        <f>66.53+2511998.64</f>
        <v>2512065.17</v>
      </c>
      <c r="I44" s="10">
        <v>0</v>
      </c>
      <c r="J44" s="10">
        <v>17679.41</v>
      </c>
      <c r="K44" s="10">
        <f t="shared" si="8"/>
        <v>2494385.7599999998</v>
      </c>
      <c r="L44" s="15"/>
      <c r="M44" s="65">
        <f t="shared" si="11"/>
        <v>0</v>
      </c>
    </row>
    <row r="45" spans="1:15" ht="27" x14ac:dyDescent="0.2">
      <c r="A45" s="9" t="s">
        <v>34</v>
      </c>
      <c r="B45" s="10">
        <v>0</v>
      </c>
      <c r="C45" s="10">
        <v>154782.26</v>
      </c>
      <c r="D45" s="13">
        <v>0</v>
      </c>
      <c r="E45" s="10">
        <v>0</v>
      </c>
      <c r="F45" s="12">
        <v>0</v>
      </c>
      <c r="G45" s="10">
        <f>+C45+D45-E45</f>
        <v>154782.26</v>
      </c>
      <c r="H45" s="10">
        <v>237102.37</v>
      </c>
      <c r="I45" s="10">
        <v>0</v>
      </c>
      <c r="J45" s="10">
        <v>82320.11</v>
      </c>
      <c r="K45" s="10">
        <f t="shared" si="8"/>
        <v>154782.26</v>
      </c>
      <c r="L45" s="15"/>
      <c r="M45" s="65">
        <f t="shared" si="11"/>
        <v>0</v>
      </c>
    </row>
    <row r="46" spans="1:15" x14ac:dyDescent="0.2">
      <c r="A46" s="9"/>
      <c r="B46" s="10">
        <v>0</v>
      </c>
      <c r="C46" s="10">
        <v>0</v>
      </c>
      <c r="D46" s="10"/>
      <c r="E46" s="10">
        <v>0</v>
      </c>
      <c r="F46" s="12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8"/>
        <v>0</v>
      </c>
      <c r="L46" s="15"/>
      <c r="M46" s="65">
        <f t="shared" si="11"/>
        <v>0</v>
      </c>
    </row>
    <row r="47" spans="1:15" x14ac:dyDescent="0.2">
      <c r="A47" s="24" t="s">
        <v>35</v>
      </c>
      <c r="B47" s="25">
        <f>SUM(B40:B46)</f>
        <v>0</v>
      </c>
      <c r="C47" s="25">
        <f t="shared" ref="C47:K47" si="12">SUM(C40:C46)</f>
        <v>154782.26</v>
      </c>
      <c r="D47" s="25">
        <f t="shared" si="12"/>
        <v>0</v>
      </c>
      <c r="E47" s="25">
        <f t="shared" si="12"/>
        <v>0</v>
      </c>
      <c r="F47" s="25">
        <f t="shared" si="12"/>
        <v>0</v>
      </c>
      <c r="G47" s="25">
        <f t="shared" si="12"/>
        <v>2964229.5999999996</v>
      </c>
      <c r="H47" s="25">
        <f t="shared" si="12"/>
        <v>2892214.2</v>
      </c>
      <c r="I47" s="25">
        <f t="shared" si="12"/>
        <v>200000</v>
      </c>
      <c r="J47" s="25">
        <f t="shared" si="12"/>
        <v>127984.6</v>
      </c>
      <c r="K47" s="25">
        <f t="shared" si="12"/>
        <v>2964229.5999999996</v>
      </c>
      <c r="L47" s="27"/>
      <c r="M47" s="65">
        <f t="shared" si="11"/>
        <v>0</v>
      </c>
    </row>
    <row r="48" spans="1:15" x14ac:dyDescent="0.2">
      <c r="A48" s="9" t="s">
        <v>18</v>
      </c>
      <c r="B48" s="10">
        <v>0</v>
      </c>
      <c r="C48" s="10">
        <v>0</v>
      </c>
      <c r="D48" s="10"/>
      <c r="E48" s="10">
        <v>0</v>
      </c>
      <c r="F48" s="12">
        <v>0</v>
      </c>
      <c r="G48" s="10">
        <v>57064.89</v>
      </c>
      <c r="H48" s="10">
        <v>132233.86000000002</v>
      </c>
      <c r="I48" s="10">
        <v>185.03</v>
      </c>
      <c r="J48" s="10">
        <v>75354</v>
      </c>
      <c r="K48" s="10">
        <f t="shared" si="8"/>
        <v>57064.890000000014</v>
      </c>
      <c r="L48" s="15"/>
      <c r="M48" s="65">
        <f t="shared" si="11"/>
        <v>0</v>
      </c>
    </row>
    <row r="49" spans="1:13" x14ac:dyDescent="0.2">
      <c r="A49" s="9" t="s">
        <v>36</v>
      </c>
      <c r="B49" s="10">
        <v>0</v>
      </c>
      <c r="C49" s="10">
        <v>0</v>
      </c>
      <c r="D49" s="10"/>
      <c r="E49" s="10">
        <v>0</v>
      </c>
      <c r="F49" s="12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8"/>
        <v>0</v>
      </c>
      <c r="L49" s="15"/>
      <c r="M49" s="65">
        <f t="shared" si="11"/>
        <v>0</v>
      </c>
    </row>
    <row r="50" spans="1:13" x14ac:dyDescent="0.2">
      <c r="A50" s="9" t="s">
        <v>20</v>
      </c>
      <c r="B50" s="10">
        <v>0</v>
      </c>
      <c r="C50" s="10">
        <v>0</v>
      </c>
      <c r="D50" s="10"/>
      <c r="E50" s="10">
        <v>0</v>
      </c>
      <c r="F50" s="12">
        <v>0</v>
      </c>
      <c r="G50" s="10">
        <v>54914.5</v>
      </c>
      <c r="H50" s="10">
        <v>51501.9</v>
      </c>
      <c r="I50" s="10">
        <v>0</v>
      </c>
      <c r="J50" s="10">
        <v>-3412.6000000000931</v>
      </c>
      <c r="K50" s="10">
        <f t="shared" si="8"/>
        <v>54914.500000000095</v>
      </c>
      <c r="L50" s="15"/>
      <c r="M50" s="65">
        <f t="shared" si="11"/>
        <v>9.4587448984384537E-11</v>
      </c>
    </row>
    <row r="51" spans="1:13" x14ac:dyDescent="0.2">
      <c r="A51" s="9" t="s">
        <v>21</v>
      </c>
      <c r="B51" s="10">
        <v>0</v>
      </c>
      <c r="C51" s="10">
        <v>0</v>
      </c>
      <c r="D51" s="10"/>
      <c r="E51" s="10">
        <v>0</v>
      </c>
      <c r="F51" s="12">
        <v>0</v>
      </c>
      <c r="G51" s="10">
        <v>5979.07</v>
      </c>
      <c r="H51" s="10">
        <v>5979.07</v>
      </c>
      <c r="I51" s="10">
        <v>0</v>
      </c>
      <c r="J51" s="10">
        <v>0</v>
      </c>
      <c r="K51" s="10">
        <f t="shared" si="8"/>
        <v>5979.07</v>
      </c>
      <c r="L51" s="15"/>
      <c r="M51" s="65">
        <f t="shared" si="11"/>
        <v>0</v>
      </c>
    </row>
    <row r="52" spans="1:13" x14ac:dyDescent="0.2">
      <c r="A52" s="9" t="s">
        <v>22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60932.3</v>
      </c>
      <c r="H52" s="10">
        <v>60932.3</v>
      </c>
      <c r="I52" s="10">
        <v>0</v>
      </c>
      <c r="J52" s="10">
        <v>0</v>
      </c>
      <c r="K52" s="10">
        <f t="shared" si="8"/>
        <v>60932.3</v>
      </c>
      <c r="L52" s="15"/>
      <c r="M52" s="65">
        <f t="shared" si="11"/>
        <v>0</v>
      </c>
    </row>
    <row r="53" spans="1:13" x14ac:dyDescent="0.2">
      <c r="A53" s="9" t="s">
        <v>24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17486.5</v>
      </c>
      <c r="H53" s="10">
        <v>17486.5</v>
      </c>
      <c r="I53" s="10">
        <v>0</v>
      </c>
      <c r="J53" s="10">
        <v>0</v>
      </c>
      <c r="K53" s="10">
        <f t="shared" si="8"/>
        <v>17486.5</v>
      </c>
      <c r="L53" s="15"/>
      <c r="M53" s="65">
        <f t="shared" si="11"/>
        <v>0</v>
      </c>
    </row>
    <row r="54" spans="1:13" x14ac:dyDescent="0.2">
      <c r="A54" s="9" t="s">
        <v>25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11051.67</v>
      </c>
      <c r="H54" s="10">
        <v>11051.67</v>
      </c>
      <c r="I54" s="10">
        <v>0</v>
      </c>
      <c r="J54" s="10">
        <v>0</v>
      </c>
      <c r="K54" s="10">
        <f t="shared" si="8"/>
        <v>11051.67</v>
      </c>
      <c r="L54" s="15"/>
      <c r="M54" s="65">
        <f t="shared" si="11"/>
        <v>0</v>
      </c>
    </row>
    <row r="55" spans="1:13" x14ac:dyDescent="0.2">
      <c r="A55" s="9" t="s">
        <v>29</v>
      </c>
      <c r="B55" s="10">
        <v>0</v>
      </c>
      <c r="C55" s="10">
        <v>0</v>
      </c>
      <c r="D55" s="10">
        <v>0</v>
      </c>
      <c r="E55" s="10">
        <v>0</v>
      </c>
      <c r="F55" s="12">
        <v>0</v>
      </c>
      <c r="G55" s="10">
        <v>148467.66</v>
      </c>
      <c r="H55" s="10">
        <v>158380.9</v>
      </c>
      <c r="I55" s="10"/>
      <c r="J55" s="10">
        <f>2876.27+7036.97</f>
        <v>9913.24</v>
      </c>
      <c r="K55" s="10">
        <f t="shared" si="8"/>
        <v>148467.66</v>
      </c>
      <c r="L55" s="15"/>
      <c r="M55" s="65">
        <f t="shared" si="11"/>
        <v>0</v>
      </c>
    </row>
    <row r="56" spans="1:13" x14ac:dyDescent="0.2">
      <c r="A56" s="9" t="s">
        <v>30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6199.68</v>
      </c>
      <c r="H56" s="10">
        <v>0</v>
      </c>
      <c r="I56" s="10">
        <v>6199.68</v>
      </c>
      <c r="J56" s="10">
        <v>0</v>
      </c>
      <c r="K56" s="10">
        <f t="shared" si="8"/>
        <v>6199.68</v>
      </c>
      <c r="L56" s="15"/>
      <c r="M56" s="65">
        <f t="shared" si="11"/>
        <v>0</v>
      </c>
    </row>
    <row r="57" spans="1:13" x14ac:dyDescent="0.2">
      <c r="A57" s="9">
        <v>3001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510.97</v>
      </c>
      <c r="H57" s="10">
        <v>696</v>
      </c>
      <c r="I57" s="10">
        <v>0</v>
      </c>
      <c r="J57" s="10">
        <v>185.03</v>
      </c>
      <c r="K57" s="10">
        <f t="shared" si="8"/>
        <v>510.97</v>
      </c>
      <c r="L57" s="15"/>
      <c r="M57" s="65">
        <f t="shared" si="11"/>
        <v>0</v>
      </c>
    </row>
    <row r="58" spans="1:13" x14ac:dyDescent="0.2">
      <c r="A58" s="9">
        <v>3002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64791.47</v>
      </c>
      <c r="H58" s="10">
        <v>64920.78</v>
      </c>
      <c r="I58" s="10">
        <v>0</v>
      </c>
      <c r="J58" s="10">
        <v>129.31</v>
      </c>
      <c r="K58" s="10">
        <f t="shared" si="8"/>
        <v>64791.47</v>
      </c>
      <c r="L58" s="15"/>
      <c r="M58" s="65">
        <f t="shared" si="11"/>
        <v>0</v>
      </c>
    </row>
    <row r="59" spans="1:13" x14ac:dyDescent="0.2">
      <c r="A59" s="9"/>
      <c r="B59" s="10">
        <v>0</v>
      </c>
      <c r="C59" s="10">
        <v>0</v>
      </c>
      <c r="D59" s="10"/>
      <c r="E59" s="10">
        <v>0</v>
      </c>
      <c r="F59" s="12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8"/>
        <v>0</v>
      </c>
      <c r="L59" s="15"/>
      <c r="M59" s="65">
        <f t="shared" si="11"/>
        <v>0</v>
      </c>
    </row>
    <row r="60" spans="1:13" x14ac:dyDescent="0.2">
      <c r="A60" s="24" t="s">
        <v>37</v>
      </c>
      <c r="B60" s="25">
        <f>SUM(B48:B59)</f>
        <v>0</v>
      </c>
      <c r="C60" s="25">
        <f t="shared" ref="C60:K60" si="13">SUM(C48:C59)</f>
        <v>0</v>
      </c>
      <c r="D60" s="25">
        <f t="shared" si="13"/>
        <v>0</v>
      </c>
      <c r="E60" s="25">
        <f t="shared" si="13"/>
        <v>0</v>
      </c>
      <c r="F60" s="25">
        <f t="shared" si="13"/>
        <v>0</v>
      </c>
      <c r="G60" s="25">
        <f t="shared" si="13"/>
        <v>427398.70999999996</v>
      </c>
      <c r="H60" s="25">
        <f t="shared" si="13"/>
        <v>503182.98</v>
      </c>
      <c r="I60" s="25">
        <f t="shared" si="13"/>
        <v>6384.71</v>
      </c>
      <c r="J60" s="25">
        <f t="shared" si="13"/>
        <v>82168.979999999909</v>
      </c>
      <c r="K60" s="25">
        <f t="shared" si="13"/>
        <v>427398.71000000008</v>
      </c>
      <c r="L60" s="27"/>
      <c r="M60" s="65">
        <f>+K60-G60</f>
        <v>0</v>
      </c>
    </row>
    <row r="61" spans="1:13" x14ac:dyDescent="0.2">
      <c r="A61" s="9" t="s">
        <v>18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38436.01</v>
      </c>
      <c r="H61" s="10">
        <v>62509.189999999988</v>
      </c>
      <c r="I61" s="10">
        <v>236626.82</v>
      </c>
      <c r="J61" s="10">
        <v>260700</v>
      </c>
      <c r="K61" s="10">
        <f t="shared" si="8"/>
        <v>38436.010000000009</v>
      </c>
      <c r="L61" s="15"/>
      <c r="M61" s="65">
        <f t="shared" si="11"/>
        <v>0</v>
      </c>
    </row>
    <row r="62" spans="1:13" x14ac:dyDescent="0.2">
      <c r="A62" s="9" t="s">
        <v>20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137672.87</v>
      </c>
      <c r="H62" s="10">
        <v>19069.32</v>
      </c>
      <c r="I62" s="10">
        <v>1797063.97</v>
      </c>
      <c r="J62" s="10">
        <v>1678460.42</v>
      </c>
      <c r="K62" s="10">
        <f t="shared" si="8"/>
        <v>137672.87000000011</v>
      </c>
      <c r="L62" s="15"/>
      <c r="M62" s="65">
        <f t="shared" si="11"/>
        <v>0</v>
      </c>
    </row>
    <row r="63" spans="1:13" x14ac:dyDescent="0.2">
      <c r="A63" s="9" t="s">
        <v>24</v>
      </c>
      <c r="B63" s="10">
        <v>0</v>
      </c>
      <c r="C63" s="10">
        <v>17884.25</v>
      </c>
      <c r="D63" s="10">
        <f>7.16+6.59</f>
        <v>13.75</v>
      </c>
      <c r="E63" s="10">
        <v>696</v>
      </c>
      <c r="F63" s="12">
        <v>0</v>
      </c>
      <c r="G63" s="10">
        <f>+C63+D63-E63</f>
        <v>17202</v>
      </c>
      <c r="H63" s="10">
        <v>17202</v>
      </c>
      <c r="I63" s="10">
        <v>0</v>
      </c>
      <c r="J63" s="10">
        <v>0</v>
      </c>
      <c r="K63" s="10">
        <f t="shared" si="8"/>
        <v>17202</v>
      </c>
      <c r="L63" s="15"/>
      <c r="M63" s="62">
        <f t="shared" si="11"/>
        <v>0</v>
      </c>
    </row>
    <row r="64" spans="1:13" x14ac:dyDescent="0.2">
      <c r="A64" s="9" t="s">
        <v>25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18649.8</v>
      </c>
      <c r="H64" s="10">
        <v>40388.06</v>
      </c>
      <c r="I64" s="10">
        <v>100000</v>
      </c>
      <c r="J64" s="10">
        <v>121738.26</v>
      </c>
      <c r="K64" s="10">
        <f t="shared" si="8"/>
        <v>18649.800000000003</v>
      </c>
      <c r="L64" s="15"/>
      <c r="M64" s="65">
        <f t="shared" si="11"/>
        <v>0</v>
      </c>
    </row>
    <row r="65" spans="1:13" x14ac:dyDescent="0.2">
      <c r="A65" s="9" t="s">
        <v>29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337850.79</v>
      </c>
      <c r="H65" s="10">
        <v>419631.03</v>
      </c>
      <c r="I65" s="10">
        <v>-7.49</v>
      </c>
      <c r="J65" s="10">
        <v>81772.75</v>
      </c>
      <c r="K65" s="10">
        <f t="shared" si="8"/>
        <v>337850.79000000004</v>
      </c>
      <c r="L65" s="15"/>
      <c r="M65" s="65">
        <f t="shared" si="11"/>
        <v>0</v>
      </c>
    </row>
    <row r="66" spans="1:13" x14ac:dyDescent="0.2">
      <c r="A66" s="9" t="s">
        <v>30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0</v>
      </c>
      <c r="H66" s="10">
        <v>538779.80000000005</v>
      </c>
      <c r="I66" s="10">
        <v>0</v>
      </c>
      <c r="J66" s="10">
        <v>538779.80000000005</v>
      </c>
      <c r="K66" s="10">
        <f t="shared" si="8"/>
        <v>0</v>
      </c>
      <c r="L66" s="15"/>
      <c r="M66" s="65">
        <f t="shared" si="11"/>
        <v>0</v>
      </c>
    </row>
    <row r="67" spans="1:13" x14ac:dyDescent="0.2">
      <c r="A67" s="9">
        <v>3001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314.99</v>
      </c>
      <c r="H67" s="10">
        <v>315</v>
      </c>
      <c r="I67" s="10">
        <v>0</v>
      </c>
      <c r="J67" s="10">
        <v>0.01</v>
      </c>
      <c r="K67" s="10">
        <f t="shared" si="8"/>
        <v>314.99</v>
      </c>
      <c r="L67" s="15"/>
      <c r="M67" s="65">
        <f t="shared" si="11"/>
        <v>0</v>
      </c>
    </row>
    <row r="68" spans="1:13" x14ac:dyDescent="0.2">
      <c r="A68" s="9">
        <v>3002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12858.9</v>
      </c>
      <c r="H68" s="10">
        <v>12858.91</v>
      </c>
      <c r="I68" s="10">
        <v>0</v>
      </c>
      <c r="J68" s="10">
        <v>0.01</v>
      </c>
      <c r="K68" s="10">
        <f t="shared" si="8"/>
        <v>12858.9</v>
      </c>
      <c r="L68" s="15"/>
      <c r="M68" s="65">
        <f t="shared" si="11"/>
        <v>0</v>
      </c>
    </row>
    <row r="69" spans="1:13" x14ac:dyDescent="0.2">
      <c r="A69" s="9"/>
      <c r="B69" s="10">
        <v>0</v>
      </c>
      <c r="C69" s="10">
        <v>0</v>
      </c>
      <c r="D69" s="10"/>
      <c r="E69" s="10">
        <v>0</v>
      </c>
      <c r="F69" s="12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8"/>
        <v>0</v>
      </c>
      <c r="L69" s="15"/>
      <c r="M69" s="65">
        <f t="shared" si="11"/>
        <v>0</v>
      </c>
    </row>
    <row r="70" spans="1:13" x14ac:dyDescent="0.2">
      <c r="A70" s="24" t="s">
        <v>38</v>
      </c>
      <c r="B70" s="25">
        <f>SUM(B61:B69)</f>
        <v>0</v>
      </c>
      <c r="C70" s="25">
        <f t="shared" ref="C70:K70" si="14">SUM(C61:C69)</f>
        <v>17884.25</v>
      </c>
      <c r="D70" s="25">
        <f t="shared" si="14"/>
        <v>13.75</v>
      </c>
      <c r="E70" s="25">
        <f t="shared" si="14"/>
        <v>696</v>
      </c>
      <c r="F70" s="25">
        <f t="shared" si="14"/>
        <v>0</v>
      </c>
      <c r="G70" s="25">
        <f t="shared" si="14"/>
        <v>562985.36</v>
      </c>
      <c r="H70" s="25">
        <f t="shared" si="14"/>
        <v>1110753.3099999998</v>
      </c>
      <c r="I70" s="25">
        <f t="shared" si="14"/>
        <v>2133683.2999999998</v>
      </c>
      <c r="J70" s="25">
        <f t="shared" si="14"/>
        <v>2681451.2499999991</v>
      </c>
      <c r="K70" s="25">
        <f t="shared" si="14"/>
        <v>562985.36000000022</v>
      </c>
      <c r="L70" s="27"/>
      <c r="M70" s="65">
        <f t="shared" si="11"/>
        <v>0</v>
      </c>
    </row>
    <row r="71" spans="1:13" x14ac:dyDescent="0.2">
      <c r="A71" s="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70435.27</v>
      </c>
      <c r="H71" s="10">
        <v>27196.65</v>
      </c>
      <c r="I71" s="10">
        <v>1260055.98</v>
      </c>
      <c r="J71" s="10">
        <v>1216817.3599999999</v>
      </c>
      <c r="K71" s="10">
        <f t="shared" si="8"/>
        <v>70435.270000000019</v>
      </c>
      <c r="L71" s="15"/>
      <c r="M71" s="65">
        <f t="shared" si="11"/>
        <v>0</v>
      </c>
    </row>
    <row r="72" spans="1:13" x14ac:dyDescent="0.2">
      <c r="A72" s="9" t="s">
        <v>36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-10</v>
      </c>
      <c r="H72" s="10">
        <v>-10</v>
      </c>
      <c r="I72" s="10">
        <v>0</v>
      </c>
      <c r="J72" s="10">
        <v>0</v>
      </c>
      <c r="K72" s="10">
        <f t="shared" si="8"/>
        <v>-10</v>
      </c>
      <c r="L72" s="15"/>
      <c r="M72" s="65">
        <f t="shared" si="11"/>
        <v>0</v>
      </c>
    </row>
    <row r="73" spans="1:13" x14ac:dyDescent="0.2">
      <c r="A73" s="9" t="s">
        <v>20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10409.09</v>
      </c>
      <c r="H73" s="10">
        <v>8124.4500000000007</v>
      </c>
      <c r="I73" s="10">
        <v>1364164.99</v>
      </c>
      <c r="J73" s="10">
        <v>1361880.35</v>
      </c>
      <c r="K73" s="10">
        <f t="shared" si="8"/>
        <v>10409.089999999851</v>
      </c>
      <c r="L73" s="15"/>
      <c r="M73" s="65">
        <f t="shared" si="11"/>
        <v>-1.4915713109076023E-10</v>
      </c>
    </row>
    <row r="74" spans="1:13" x14ac:dyDescent="0.2">
      <c r="A74" s="9" t="s">
        <v>24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1150.8900000000001</v>
      </c>
      <c r="H74" s="10">
        <v>42631.81</v>
      </c>
      <c r="I74" s="10">
        <v>412765.08</v>
      </c>
      <c r="J74" s="10">
        <v>454246</v>
      </c>
      <c r="K74" s="10">
        <f t="shared" si="8"/>
        <v>1150.890000000014</v>
      </c>
      <c r="L74" s="15"/>
      <c r="M74" s="65">
        <f t="shared" si="11"/>
        <v>1.3869794202037156E-11</v>
      </c>
    </row>
    <row r="75" spans="1:13" x14ac:dyDescent="0.2">
      <c r="A75" s="9" t="s">
        <v>25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-1415.64</v>
      </c>
      <c r="H75" s="10">
        <v>719.87</v>
      </c>
      <c r="I75" s="10">
        <v>17662.490000000002</v>
      </c>
      <c r="J75" s="10">
        <v>19798</v>
      </c>
      <c r="K75" s="10">
        <f t="shared" si="8"/>
        <v>-1415.6399999999994</v>
      </c>
      <c r="L75" s="15"/>
      <c r="M75" s="65">
        <f t="shared" si="11"/>
        <v>0</v>
      </c>
    </row>
    <row r="76" spans="1:13" x14ac:dyDescent="0.2">
      <c r="A76" s="9" t="s">
        <v>27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267528.84000000003</v>
      </c>
      <c r="H76" s="10">
        <v>0</v>
      </c>
      <c r="I76" s="10">
        <v>267528.84000000003</v>
      </c>
      <c r="J76" s="10">
        <v>0</v>
      </c>
      <c r="K76" s="10">
        <f t="shared" si="8"/>
        <v>267528.84000000003</v>
      </c>
      <c r="L76" s="15"/>
      <c r="M76" s="65">
        <f t="shared" si="11"/>
        <v>0</v>
      </c>
    </row>
    <row r="77" spans="1:13" x14ac:dyDescent="0.2">
      <c r="A77" s="9" t="s">
        <v>29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238880.59</v>
      </c>
      <c r="H77" s="10">
        <v>286118.3</v>
      </c>
      <c r="I77" s="10">
        <v>98358.74</v>
      </c>
      <c r="J77" s="10">
        <v>145596.44999999998</v>
      </c>
      <c r="K77" s="10">
        <f t="shared" si="8"/>
        <v>238880.59</v>
      </c>
      <c r="L77" s="15"/>
      <c r="M77" s="65">
        <f t="shared" si="11"/>
        <v>0</v>
      </c>
    </row>
    <row r="78" spans="1:13" x14ac:dyDescent="0.2">
      <c r="A78" s="9" t="s">
        <v>30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8"/>
        <v>0</v>
      </c>
      <c r="L78" s="15"/>
      <c r="M78" s="65">
        <f t="shared" si="11"/>
        <v>0</v>
      </c>
    </row>
    <row r="79" spans="1:13" x14ac:dyDescent="0.2">
      <c r="A79" s="9"/>
      <c r="B79" s="10">
        <v>0</v>
      </c>
      <c r="C79" s="10">
        <v>0</v>
      </c>
      <c r="D79" s="10"/>
      <c r="E79" s="10">
        <v>0</v>
      </c>
      <c r="F79" s="12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8"/>
        <v>0</v>
      </c>
      <c r="L79" s="15"/>
      <c r="M79" s="65">
        <f t="shared" si="11"/>
        <v>0</v>
      </c>
    </row>
    <row r="80" spans="1:13" x14ac:dyDescent="0.2">
      <c r="A80" s="24" t="s">
        <v>39</v>
      </c>
      <c r="B80" s="25">
        <f>SUM(B71:B79)</f>
        <v>0</v>
      </c>
      <c r="C80" s="25">
        <f t="shared" ref="C80:K80" si="15">SUM(C71:C79)</f>
        <v>0</v>
      </c>
      <c r="D80" s="25">
        <f t="shared" si="15"/>
        <v>0</v>
      </c>
      <c r="E80" s="25">
        <f t="shared" si="15"/>
        <v>0</v>
      </c>
      <c r="F80" s="25">
        <f t="shared" si="15"/>
        <v>0</v>
      </c>
      <c r="G80" s="25">
        <f t="shared" si="15"/>
        <v>586979.04</v>
      </c>
      <c r="H80" s="25">
        <f t="shared" si="15"/>
        <v>364781.07999999996</v>
      </c>
      <c r="I80" s="25">
        <f t="shared" si="15"/>
        <v>3420536.12</v>
      </c>
      <c r="J80" s="25">
        <f t="shared" si="15"/>
        <v>3198338.16</v>
      </c>
      <c r="K80" s="25">
        <f t="shared" si="15"/>
        <v>586979.03999999992</v>
      </c>
      <c r="L80" s="27"/>
      <c r="M80" s="65">
        <f t="shared" si="11"/>
        <v>0</v>
      </c>
    </row>
    <row r="81" spans="1:13" x14ac:dyDescent="0.2">
      <c r="A81" s="9" t="s">
        <v>18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1852.17</v>
      </c>
      <c r="H81" s="10">
        <v>21852.97</v>
      </c>
      <c r="I81" s="10">
        <v>0</v>
      </c>
      <c r="J81" s="10">
        <v>20000.8</v>
      </c>
      <c r="K81" s="10">
        <f t="shared" si="8"/>
        <v>1852.1700000000019</v>
      </c>
      <c r="L81" s="15"/>
      <c r="M81" s="65">
        <f t="shared" si="11"/>
        <v>1.8189894035458565E-12</v>
      </c>
    </row>
    <row r="82" spans="1:13" x14ac:dyDescent="0.2">
      <c r="A82" s="9" t="s">
        <v>24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43212.38</v>
      </c>
      <c r="H82" s="10">
        <v>43212.38</v>
      </c>
      <c r="I82" s="10">
        <v>0</v>
      </c>
      <c r="J82" s="10">
        <v>0</v>
      </c>
      <c r="K82" s="10">
        <f t="shared" si="8"/>
        <v>43212.38</v>
      </c>
      <c r="L82" s="15"/>
      <c r="M82" s="65">
        <f t="shared" si="11"/>
        <v>0</v>
      </c>
    </row>
    <row r="83" spans="1:13" x14ac:dyDescent="0.2">
      <c r="A83" s="9" t="s">
        <v>25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1625.34</v>
      </c>
      <c r="H83" s="10">
        <v>8443.23</v>
      </c>
      <c r="I83" s="10">
        <v>10845.58</v>
      </c>
      <c r="J83" s="10">
        <v>17663.47</v>
      </c>
      <c r="K83" s="10">
        <f t="shared" si="8"/>
        <v>1625.3399999999965</v>
      </c>
      <c r="L83" s="15"/>
      <c r="M83" s="65">
        <f t="shared" si="11"/>
        <v>-3.4106051316484809E-12</v>
      </c>
    </row>
    <row r="84" spans="1:13" x14ac:dyDescent="0.2">
      <c r="A84" s="9" t="s">
        <v>26</v>
      </c>
      <c r="B84" s="10">
        <v>0</v>
      </c>
      <c r="C84" s="10">
        <v>0</v>
      </c>
      <c r="D84" s="10"/>
      <c r="E84" s="10">
        <v>0</v>
      </c>
      <c r="F84" s="12">
        <v>0</v>
      </c>
      <c r="G84" s="10">
        <v>20682.669999999998</v>
      </c>
      <c r="H84" s="10">
        <v>0</v>
      </c>
      <c r="I84" s="10">
        <v>20682.669999999998</v>
      </c>
      <c r="J84" s="10">
        <v>0</v>
      </c>
      <c r="K84" s="10">
        <f t="shared" si="8"/>
        <v>20682.669999999998</v>
      </c>
      <c r="L84" s="15"/>
      <c r="M84" s="65">
        <f t="shared" si="11"/>
        <v>0</v>
      </c>
    </row>
    <row r="85" spans="1:13" x14ac:dyDescent="0.2">
      <c r="A85" s="9" t="s">
        <v>29</v>
      </c>
      <c r="B85" s="10">
        <v>0</v>
      </c>
      <c r="C85" s="10">
        <v>0</v>
      </c>
      <c r="D85" s="10"/>
      <c r="E85" s="10">
        <v>0</v>
      </c>
      <c r="F85" s="12">
        <v>0</v>
      </c>
      <c r="G85" s="10">
        <v>74081.95</v>
      </c>
      <c r="H85" s="10">
        <v>79147.360000000001</v>
      </c>
      <c r="I85" s="10">
        <v>0</v>
      </c>
      <c r="J85" s="10">
        <v>5065.41</v>
      </c>
      <c r="K85" s="10">
        <f t="shared" si="8"/>
        <v>74081.95</v>
      </c>
      <c r="L85" s="15"/>
      <c r="M85" s="65">
        <f t="shared" si="11"/>
        <v>0</v>
      </c>
    </row>
    <row r="86" spans="1:13" x14ac:dyDescent="0.2">
      <c r="A86" s="9" t="s">
        <v>30</v>
      </c>
      <c r="B86" s="10">
        <v>0</v>
      </c>
      <c r="C86" s="10">
        <v>0</v>
      </c>
      <c r="D86" s="10"/>
      <c r="E86" s="10">
        <v>0</v>
      </c>
      <c r="F86" s="12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8"/>
        <v>0</v>
      </c>
      <c r="L86" s="15"/>
      <c r="M86" s="65">
        <f t="shared" si="11"/>
        <v>0</v>
      </c>
    </row>
    <row r="87" spans="1:13" x14ac:dyDescent="0.2">
      <c r="A87" s="9"/>
      <c r="B87" s="10">
        <v>0</v>
      </c>
      <c r="C87" s="10">
        <v>0</v>
      </c>
      <c r="D87" s="10"/>
      <c r="E87" s="10">
        <v>0</v>
      </c>
      <c r="F87" s="12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ref="K87:K95" si="16">H87+I87-J87</f>
        <v>0</v>
      </c>
      <c r="L87" s="15"/>
      <c r="M87" s="65">
        <f t="shared" si="11"/>
        <v>0</v>
      </c>
    </row>
    <row r="88" spans="1:13" x14ac:dyDescent="0.2">
      <c r="A88" s="24" t="s">
        <v>40</v>
      </c>
      <c r="B88" s="25">
        <f>SUM(B81:B87)</f>
        <v>0</v>
      </c>
      <c r="C88" s="25">
        <f t="shared" ref="C88:K88" si="17">SUM(C81:C87)</f>
        <v>0</v>
      </c>
      <c r="D88" s="25">
        <f t="shared" si="17"/>
        <v>0</v>
      </c>
      <c r="E88" s="25">
        <f t="shared" si="17"/>
        <v>0</v>
      </c>
      <c r="F88" s="25">
        <f t="shared" si="17"/>
        <v>0</v>
      </c>
      <c r="G88" s="25">
        <f t="shared" si="17"/>
        <v>141454.51</v>
      </c>
      <c r="H88" s="25">
        <f t="shared" si="17"/>
        <v>152655.94</v>
      </c>
      <c r="I88" s="25">
        <f t="shared" si="17"/>
        <v>31528.25</v>
      </c>
      <c r="J88" s="25">
        <f t="shared" si="17"/>
        <v>42729.680000000008</v>
      </c>
      <c r="K88" s="25">
        <f t="shared" si="17"/>
        <v>141454.51</v>
      </c>
      <c r="L88" s="27"/>
      <c r="M88" s="65">
        <f t="shared" si="11"/>
        <v>0</v>
      </c>
    </row>
    <row r="89" spans="1:13" x14ac:dyDescent="0.2">
      <c r="A89" s="9" t="s">
        <v>36</v>
      </c>
      <c r="B89" s="10">
        <v>0</v>
      </c>
      <c r="C89" s="10">
        <v>0</v>
      </c>
      <c r="D89" s="10"/>
      <c r="E89" s="10">
        <v>0</v>
      </c>
      <c r="F89" s="12">
        <v>0</v>
      </c>
      <c r="G89" s="10">
        <v>12193</v>
      </c>
      <c r="H89" s="10">
        <v>13553.029999999999</v>
      </c>
      <c r="I89" s="10">
        <v>0</v>
      </c>
      <c r="J89" s="10">
        <v>1360.03</v>
      </c>
      <c r="K89" s="10">
        <f t="shared" si="16"/>
        <v>12192.999999999998</v>
      </c>
      <c r="L89" s="15"/>
      <c r="M89" s="65">
        <f t="shared" si="11"/>
        <v>0</v>
      </c>
    </row>
    <row r="90" spans="1:13" x14ac:dyDescent="0.2">
      <c r="A90" s="9" t="s">
        <v>29</v>
      </c>
      <c r="B90" s="10">
        <v>0</v>
      </c>
      <c r="C90" s="10">
        <v>0</v>
      </c>
      <c r="D90" s="10"/>
      <c r="E90" s="10">
        <v>0</v>
      </c>
      <c r="F90" s="12">
        <v>0</v>
      </c>
      <c r="G90" s="10">
        <v>7163.64</v>
      </c>
      <c r="H90" s="10">
        <v>6216.71</v>
      </c>
      <c r="I90" s="10">
        <v>4500</v>
      </c>
      <c r="J90" s="10">
        <v>3553.0699999999997</v>
      </c>
      <c r="K90" s="10">
        <f t="shared" si="16"/>
        <v>7163.6399999999994</v>
      </c>
      <c r="L90" s="15"/>
      <c r="M90" s="65">
        <f t="shared" si="11"/>
        <v>0</v>
      </c>
    </row>
    <row r="91" spans="1:13" x14ac:dyDescent="0.2">
      <c r="A91" s="9"/>
      <c r="B91" s="10">
        <v>0</v>
      </c>
      <c r="C91" s="10">
        <v>0</v>
      </c>
      <c r="D91" s="10"/>
      <c r="E91" s="10">
        <v>0</v>
      </c>
      <c r="F91" s="12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6"/>
        <v>0</v>
      </c>
      <c r="L91" s="15"/>
      <c r="M91" s="65">
        <f t="shared" si="11"/>
        <v>0</v>
      </c>
    </row>
    <row r="92" spans="1:13" x14ac:dyDescent="0.2">
      <c r="A92" s="24" t="s">
        <v>41</v>
      </c>
      <c r="B92" s="25">
        <f>+B89+B90+B91</f>
        <v>0</v>
      </c>
      <c r="C92" s="25">
        <f t="shared" ref="C92:K92" si="18">+C89+C90+C91</f>
        <v>0</v>
      </c>
      <c r="D92" s="25">
        <f t="shared" si="18"/>
        <v>0</v>
      </c>
      <c r="E92" s="25">
        <f t="shared" si="18"/>
        <v>0</v>
      </c>
      <c r="F92" s="25">
        <f t="shared" si="18"/>
        <v>0</v>
      </c>
      <c r="G92" s="25">
        <f t="shared" si="18"/>
        <v>19356.64</v>
      </c>
      <c r="H92" s="25">
        <f t="shared" si="18"/>
        <v>19769.739999999998</v>
      </c>
      <c r="I92" s="25">
        <f t="shared" si="18"/>
        <v>4500</v>
      </c>
      <c r="J92" s="25">
        <f t="shared" si="18"/>
        <v>4913.0999999999995</v>
      </c>
      <c r="K92" s="25">
        <f t="shared" si="18"/>
        <v>19356.64</v>
      </c>
      <c r="L92" s="27"/>
      <c r="M92" s="65">
        <f t="shared" si="11"/>
        <v>0</v>
      </c>
    </row>
    <row r="93" spans="1:13" x14ac:dyDescent="0.2">
      <c r="A93" s="9" t="s">
        <v>36</v>
      </c>
      <c r="B93" s="10">
        <v>0</v>
      </c>
      <c r="C93" s="10">
        <v>0</v>
      </c>
      <c r="D93" s="10"/>
      <c r="E93" s="10">
        <v>0</v>
      </c>
      <c r="F93" s="12">
        <v>0</v>
      </c>
      <c r="G93" s="10">
        <v>4081.54</v>
      </c>
      <c r="H93" s="10">
        <v>4081.54</v>
      </c>
      <c r="I93" s="10">
        <v>0</v>
      </c>
      <c r="J93" s="10">
        <v>0</v>
      </c>
      <c r="K93" s="10">
        <f t="shared" si="16"/>
        <v>4081.54</v>
      </c>
      <c r="L93" s="15"/>
      <c r="M93" s="65">
        <f t="shared" si="11"/>
        <v>0</v>
      </c>
    </row>
    <row r="94" spans="1:13" x14ac:dyDescent="0.2">
      <c r="A94" s="9" t="s">
        <v>29</v>
      </c>
      <c r="B94" s="10">
        <v>0</v>
      </c>
      <c r="C94" s="10">
        <v>0</v>
      </c>
      <c r="D94" s="10"/>
      <c r="E94" s="10">
        <v>0</v>
      </c>
      <c r="F94" s="12">
        <v>0</v>
      </c>
      <c r="G94" s="10">
        <v>28063.68</v>
      </c>
      <c r="H94" s="10">
        <v>2763.68</v>
      </c>
      <c r="I94" s="10">
        <v>25300</v>
      </c>
      <c r="J94" s="10">
        <v>0</v>
      </c>
      <c r="K94" s="10">
        <f t="shared" si="16"/>
        <v>28063.68</v>
      </c>
      <c r="L94" s="15"/>
      <c r="M94" s="65">
        <f t="shared" si="11"/>
        <v>0</v>
      </c>
    </row>
    <row r="95" spans="1:13" x14ac:dyDescent="0.2">
      <c r="A95" s="9"/>
      <c r="B95" s="10">
        <v>0</v>
      </c>
      <c r="C95" s="10">
        <v>0</v>
      </c>
      <c r="D95" s="10"/>
      <c r="E95" s="10">
        <v>0</v>
      </c>
      <c r="F95" s="12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6"/>
        <v>0</v>
      </c>
      <c r="L95" s="15"/>
      <c r="M95" s="65">
        <f t="shared" si="11"/>
        <v>0</v>
      </c>
    </row>
    <row r="96" spans="1:13" x14ac:dyDescent="0.2">
      <c r="A96" s="24" t="s">
        <v>42</v>
      </c>
      <c r="B96" s="25">
        <f>+B93+B94+B95</f>
        <v>0</v>
      </c>
      <c r="C96" s="25">
        <f t="shared" ref="C96:K96" si="19">+C93+C94+C95</f>
        <v>0</v>
      </c>
      <c r="D96" s="25">
        <f t="shared" si="19"/>
        <v>0</v>
      </c>
      <c r="E96" s="25">
        <f t="shared" si="19"/>
        <v>0</v>
      </c>
      <c r="F96" s="25">
        <f t="shared" si="19"/>
        <v>0</v>
      </c>
      <c r="G96" s="25">
        <f t="shared" si="19"/>
        <v>32145.22</v>
      </c>
      <c r="H96" s="25">
        <f t="shared" si="19"/>
        <v>6845.2199999999993</v>
      </c>
      <c r="I96" s="25">
        <f t="shared" si="19"/>
        <v>25300</v>
      </c>
      <c r="J96" s="25">
        <f t="shared" si="19"/>
        <v>0</v>
      </c>
      <c r="K96" s="25">
        <f t="shared" si="19"/>
        <v>32145.22</v>
      </c>
      <c r="L96" s="27"/>
      <c r="M96" s="65">
        <f t="shared" si="11"/>
        <v>0</v>
      </c>
    </row>
    <row r="97" spans="1:13" x14ac:dyDescent="0.2">
      <c r="A97" s="9"/>
      <c r="B97" s="10">
        <v>0</v>
      </c>
      <c r="C97" s="10">
        <v>0</v>
      </c>
      <c r="D97" s="10"/>
      <c r="E97" s="10">
        <v>0</v>
      </c>
      <c r="F97" s="12">
        <v>0</v>
      </c>
      <c r="G97" s="10">
        <v>0</v>
      </c>
      <c r="H97" s="10">
        <v>0</v>
      </c>
      <c r="I97" s="10">
        <v>0</v>
      </c>
      <c r="J97" s="10">
        <v>0</v>
      </c>
      <c r="K97" s="10">
        <f>H97+I97-J97</f>
        <v>0</v>
      </c>
      <c r="L97" s="15"/>
      <c r="M97" s="65">
        <f t="shared" si="11"/>
        <v>0</v>
      </c>
    </row>
    <row r="98" spans="1:13" ht="27" x14ac:dyDescent="0.2">
      <c r="A98" s="24" t="s">
        <v>43</v>
      </c>
      <c r="B98" s="25">
        <f t="shared" ref="B98:K98" si="20">+B96+B92+B88+B80+B70+B60+B47+B39</f>
        <v>69366749.510000005</v>
      </c>
      <c r="C98" s="25">
        <f t="shared" si="20"/>
        <v>71257834.760000005</v>
      </c>
      <c r="D98" s="25">
        <f t="shared" si="20"/>
        <v>156411.28</v>
      </c>
      <c r="E98" s="25">
        <f t="shared" si="20"/>
        <v>63007332.109999999</v>
      </c>
      <c r="F98" s="25">
        <f t="shared" si="20"/>
        <v>0.88635418134499522</v>
      </c>
      <c r="G98" s="25">
        <f t="shared" si="20"/>
        <v>12969478.749999998</v>
      </c>
      <c r="H98" s="25">
        <f t="shared" si="20"/>
        <v>14815450.300000001</v>
      </c>
      <c r="I98" s="25">
        <f t="shared" si="20"/>
        <v>6141193.1299999999</v>
      </c>
      <c r="J98" s="25">
        <f t="shared" si="20"/>
        <v>7987160.1799999988</v>
      </c>
      <c r="K98" s="25">
        <f t="shared" si="20"/>
        <v>12969483.25</v>
      </c>
      <c r="L98" s="27"/>
      <c r="M98" s="65">
        <f t="shared" si="11"/>
        <v>4.5000000018626451</v>
      </c>
    </row>
    <row r="99" spans="1:13" x14ac:dyDescent="0.2">
      <c r="A99" s="9"/>
      <c r="B99" s="10">
        <v>0</v>
      </c>
      <c r="C99" s="10">
        <v>0</v>
      </c>
      <c r="D99" s="10"/>
      <c r="E99" s="10">
        <v>0</v>
      </c>
      <c r="F99" s="12">
        <v>0</v>
      </c>
      <c r="G99" s="10">
        <v>0</v>
      </c>
      <c r="H99" s="10">
        <v>0</v>
      </c>
      <c r="I99" s="10">
        <v>0</v>
      </c>
      <c r="J99" s="10">
        <v>0</v>
      </c>
      <c r="K99" s="10">
        <f>H99+I99-J99</f>
        <v>0</v>
      </c>
      <c r="L99" s="15"/>
      <c r="M99" s="65">
        <f>+K99-G99</f>
        <v>0</v>
      </c>
    </row>
    <row r="100" spans="1:13" x14ac:dyDescent="0.25">
      <c r="A100" s="24" t="s">
        <v>44</v>
      </c>
      <c r="B100" s="25">
        <f>+B98+B21</f>
        <v>117832976.59</v>
      </c>
      <c r="C100" s="25">
        <f t="shared" ref="C100:K100" si="21">+C98+C21</f>
        <v>95463769.659999996</v>
      </c>
      <c r="D100" s="25">
        <f t="shared" si="21"/>
        <v>156411.28</v>
      </c>
      <c r="E100" s="25">
        <f t="shared" si="21"/>
        <v>75481124.560000002</v>
      </c>
      <c r="F100" s="25">
        <f t="shared" si="21"/>
        <v>3.3244186787498511</v>
      </c>
      <c r="G100" s="25">
        <f t="shared" si="21"/>
        <v>24701621.199999996</v>
      </c>
      <c r="H100" s="25">
        <f t="shared" si="21"/>
        <v>26881628.380000003</v>
      </c>
      <c r="I100" s="25">
        <f t="shared" si="21"/>
        <v>6512670.2999999998</v>
      </c>
      <c r="J100" s="25">
        <f t="shared" si="21"/>
        <v>8692676.1399999987</v>
      </c>
      <c r="K100" s="25">
        <f t="shared" si="21"/>
        <v>24701622.539999999</v>
      </c>
      <c r="L100" s="27"/>
    </row>
    <row r="101" spans="1:13" x14ac:dyDescent="0.25">
      <c r="A101" s="28"/>
      <c r="B101" s="29"/>
      <c r="C101" s="29"/>
      <c r="D101" s="29"/>
      <c r="E101" s="28"/>
      <c r="F101" s="28"/>
      <c r="G101" s="28"/>
      <c r="H101" s="28"/>
      <c r="I101" s="28"/>
      <c r="J101" s="28"/>
      <c r="K101" s="28"/>
      <c r="L101" s="30"/>
    </row>
    <row r="102" spans="1:13" x14ac:dyDescent="0.25">
      <c r="A102" s="19"/>
      <c r="B102" s="19"/>
      <c r="C102" s="333" t="s">
        <v>45</v>
      </c>
      <c r="D102" s="333"/>
      <c r="E102" s="333"/>
      <c r="F102" s="333"/>
      <c r="G102" s="333"/>
      <c r="H102" s="333"/>
      <c r="I102" s="333"/>
      <c r="J102" s="19"/>
      <c r="K102" s="19"/>
      <c r="L102" s="19"/>
    </row>
    <row r="103" spans="1:13" x14ac:dyDescent="0.25">
      <c r="A103" s="19"/>
      <c r="B103" s="19"/>
      <c r="C103" s="50"/>
      <c r="D103" s="50"/>
      <c r="E103" s="50"/>
      <c r="F103" s="50"/>
      <c r="G103" s="50"/>
      <c r="H103" s="50"/>
      <c r="I103" s="50"/>
      <c r="J103" s="19"/>
      <c r="K103" s="19"/>
      <c r="L103" s="19"/>
    </row>
    <row r="104" spans="1:13" x14ac:dyDescent="0.25">
      <c r="A104" s="19"/>
      <c r="B104" s="325" t="s">
        <v>46</v>
      </c>
      <c r="C104" s="325"/>
      <c r="D104" s="326" t="s">
        <v>47</v>
      </c>
      <c r="E104" s="327"/>
      <c r="F104" s="328"/>
      <c r="G104" s="320" t="s">
        <v>48</v>
      </c>
      <c r="H104" s="320"/>
      <c r="I104" s="53" t="s">
        <v>10</v>
      </c>
      <c r="J104" s="19"/>
      <c r="K104" s="19"/>
      <c r="L104" s="19"/>
    </row>
    <row r="105" spans="1:13" x14ac:dyDescent="0.25">
      <c r="A105" s="19"/>
      <c r="B105" s="329" t="s">
        <v>49</v>
      </c>
      <c r="C105" s="329"/>
      <c r="D105" s="330">
        <v>8135543</v>
      </c>
      <c r="E105" s="331"/>
      <c r="F105" s="332">
        <v>0</v>
      </c>
      <c r="G105" s="330">
        <v>2004169</v>
      </c>
      <c r="H105" s="332"/>
      <c r="I105" s="33">
        <f>G105/D105</f>
        <v>0.2463472935979811</v>
      </c>
      <c r="J105" s="19"/>
      <c r="K105" s="19"/>
      <c r="L105" s="19"/>
    </row>
    <row r="106" spans="1:13" x14ac:dyDescent="0.25">
      <c r="A106" s="19"/>
      <c r="B106" s="320"/>
      <c r="C106" s="320"/>
      <c r="D106" s="321"/>
      <c r="E106" s="322"/>
      <c r="F106" s="323"/>
      <c r="G106" s="324"/>
      <c r="H106" s="324"/>
      <c r="I106" s="54"/>
      <c r="J106" s="19"/>
      <c r="K106" s="19"/>
      <c r="L106" s="19"/>
    </row>
    <row r="107" spans="1:13" x14ac:dyDescent="0.25">
      <c r="A107" s="19"/>
      <c r="B107" s="320"/>
      <c r="C107" s="320"/>
      <c r="D107" s="321"/>
      <c r="E107" s="322"/>
      <c r="F107" s="323"/>
      <c r="G107" s="324"/>
      <c r="H107" s="324"/>
      <c r="I107" s="54"/>
      <c r="J107" s="19"/>
      <c r="K107" s="19"/>
      <c r="L107" s="19"/>
    </row>
    <row r="108" spans="1:13" x14ac:dyDescent="0.25">
      <c r="A108" s="19"/>
      <c r="B108" s="320"/>
      <c r="C108" s="320"/>
      <c r="D108" s="321"/>
      <c r="E108" s="322"/>
      <c r="F108" s="323"/>
      <c r="G108" s="324"/>
      <c r="H108" s="324"/>
      <c r="I108" s="54"/>
      <c r="J108" s="19"/>
      <c r="K108" s="19"/>
      <c r="L108" s="19"/>
    </row>
    <row r="109" spans="1:13" x14ac:dyDescent="0.25">
      <c r="A109" s="35" t="s">
        <v>50</v>
      </c>
      <c r="B109" s="36"/>
      <c r="C109" s="36"/>
      <c r="D109" s="36"/>
      <c r="E109" s="36"/>
      <c r="F109" s="36"/>
      <c r="G109" s="37"/>
      <c r="H109" s="37"/>
      <c r="I109" s="38"/>
      <c r="J109" s="19"/>
      <c r="K109" s="19"/>
      <c r="L109" s="19"/>
    </row>
  </sheetData>
  <mergeCells count="31">
    <mergeCell ref="B108:C108"/>
    <mergeCell ref="D108:F108"/>
    <mergeCell ref="G108:H108"/>
    <mergeCell ref="B106:C106"/>
    <mergeCell ref="D106:F106"/>
    <mergeCell ref="G106:H106"/>
    <mergeCell ref="B107:C107"/>
    <mergeCell ref="D107:F107"/>
    <mergeCell ref="G107:H107"/>
    <mergeCell ref="B104:C104"/>
    <mergeCell ref="D104:F104"/>
    <mergeCell ref="G104:H104"/>
    <mergeCell ref="B105:C105"/>
    <mergeCell ref="D105:F105"/>
    <mergeCell ref="G105:H105"/>
    <mergeCell ref="C102:I102"/>
    <mergeCell ref="A1:L1"/>
    <mergeCell ref="A3:L3"/>
    <mergeCell ref="C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O109"/>
  <sheetViews>
    <sheetView topLeftCell="A106" zoomScale="120" zoomScaleNormal="120" workbookViewId="0">
      <selection activeCell="G12" sqref="G12"/>
    </sheetView>
  </sheetViews>
  <sheetFormatPr baseColWidth="10" defaultColWidth="16.5703125" defaultRowHeight="18" x14ac:dyDescent="0.25"/>
  <cols>
    <col min="1" max="1" width="16.5703125" style="1" customWidth="1"/>
    <col min="2" max="5" width="12.7109375" style="1" customWidth="1"/>
    <col min="6" max="6" width="6.5703125" style="1" bestFit="1" customWidth="1"/>
    <col min="7" max="11" width="12.7109375" style="1" customWidth="1"/>
    <col min="12" max="12" width="16.5703125" style="1"/>
    <col min="13" max="13" width="16.5703125" style="60"/>
    <col min="14" max="256" width="16.5703125" style="1"/>
    <col min="257" max="257" width="16.5703125" style="1" customWidth="1"/>
    <col min="258" max="261" width="12.7109375" style="1" customWidth="1"/>
    <col min="262" max="262" width="6.5703125" style="1" bestFit="1" customWidth="1"/>
    <col min="263" max="267" width="12.7109375" style="1" customWidth="1"/>
    <col min="268" max="512" width="16.5703125" style="1"/>
    <col min="513" max="513" width="16.5703125" style="1" customWidth="1"/>
    <col min="514" max="517" width="12.7109375" style="1" customWidth="1"/>
    <col min="518" max="518" width="6.5703125" style="1" bestFit="1" customWidth="1"/>
    <col min="519" max="523" width="12.7109375" style="1" customWidth="1"/>
    <col min="524" max="768" width="16.5703125" style="1"/>
    <col min="769" max="769" width="16.5703125" style="1" customWidth="1"/>
    <col min="770" max="773" width="12.7109375" style="1" customWidth="1"/>
    <col min="774" max="774" width="6.5703125" style="1" bestFit="1" customWidth="1"/>
    <col min="775" max="779" width="12.7109375" style="1" customWidth="1"/>
    <col min="780" max="1024" width="16.5703125" style="1"/>
    <col min="1025" max="1025" width="16.5703125" style="1" customWidth="1"/>
    <col min="1026" max="1029" width="12.7109375" style="1" customWidth="1"/>
    <col min="1030" max="1030" width="6.5703125" style="1" bestFit="1" customWidth="1"/>
    <col min="1031" max="1035" width="12.7109375" style="1" customWidth="1"/>
    <col min="1036" max="1280" width="16.5703125" style="1"/>
    <col min="1281" max="1281" width="16.5703125" style="1" customWidth="1"/>
    <col min="1282" max="1285" width="12.7109375" style="1" customWidth="1"/>
    <col min="1286" max="1286" width="6.5703125" style="1" bestFit="1" customWidth="1"/>
    <col min="1287" max="1291" width="12.7109375" style="1" customWidth="1"/>
    <col min="1292" max="1536" width="16.5703125" style="1"/>
    <col min="1537" max="1537" width="16.5703125" style="1" customWidth="1"/>
    <col min="1538" max="1541" width="12.7109375" style="1" customWidth="1"/>
    <col min="1542" max="1542" width="6.5703125" style="1" bestFit="1" customWidth="1"/>
    <col min="1543" max="1547" width="12.7109375" style="1" customWidth="1"/>
    <col min="1548" max="1792" width="16.5703125" style="1"/>
    <col min="1793" max="1793" width="16.5703125" style="1" customWidth="1"/>
    <col min="1794" max="1797" width="12.7109375" style="1" customWidth="1"/>
    <col min="1798" max="1798" width="6.5703125" style="1" bestFit="1" customWidth="1"/>
    <col min="1799" max="1803" width="12.7109375" style="1" customWidth="1"/>
    <col min="1804" max="2048" width="16.5703125" style="1"/>
    <col min="2049" max="2049" width="16.5703125" style="1" customWidth="1"/>
    <col min="2050" max="2053" width="12.7109375" style="1" customWidth="1"/>
    <col min="2054" max="2054" width="6.5703125" style="1" bestFit="1" customWidth="1"/>
    <col min="2055" max="2059" width="12.7109375" style="1" customWidth="1"/>
    <col min="2060" max="2304" width="16.5703125" style="1"/>
    <col min="2305" max="2305" width="16.5703125" style="1" customWidth="1"/>
    <col min="2306" max="2309" width="12.7109375" style="1" customWidth="1"/>
    <col min="2310" max="2310" width="6.5703125" style="1" bestFit="1" customWidth="1"/>
    <col min="2311" max="2315" width="12.7109375" style="1" customWidth="1"/>
    <col min="2316" max="2560" width="16.5703125" style="1"/>
    <col min="2561" max="2561" width="16.5703125" style="1" customWidth="1"/>
    <col min="2562" max="2565" width="12.7109375" style="1" customWidth="1"/>
    <col min="2566" max="2566" width="6.5703125" style="1" bestFit="1" customWidth="1"/>
    <col min="2567" max="2571" width="12.7109375" style="1" customWidth="1"/>
    <col min="2572" max="2816" width="16.5703125" style="1"/>
    <col min="2817" max="2817" width="16.5703125" style="1" customWidth="1"/>
    <col min="2818" max="2821" width="12.7109375" style="1" customWidth="1"/>
    <col min="2822" max="2822" width="6.5703125" style="1" bestFit="1" customWidth="1"/>
    <col min="2823" max="2827" width="12.7109375" style="1" customWidth="1"/>
    <col min="2828" max="3072" width="16.5703125" style="1"/>
    <col min="3073" max="3073" width="16.5703125" style="1" customWidth="1"/>
    <col min="3074" max="3077" width="12.7109375" style="1" customWidth="1"/>
    <col min="3078" max="3078" width="6.5703125" style="1" bestFit="1" customWidth="1"/>
    <col min="3079" max="3083" width="12.7109375" style="1" customWidth="1"/>
    <col min="3084" max="3328" width="16.5703125" style="1"/>
    <col min="3329" max="3329" width="16.5703125" style="1" customWidth="1"/>
    <col min="3330" max="3333" width="12.7109375" style="1" customWidth="1"/>
    <col min="3334" max="3334" width="6.5703125" style="1" bestFit="1" customWidth="1"/>
    <col min="3335" max="3339" width="12.7109375" style="1" customWidth="1"/>
    <col min="3340" max="3584" width="16.5703125" style="1"/>
    <col min="3585" max="3585" width="16.5703125" style="1" customWidth="1"/>
    <col min="3586" max="3589" width="12.7109375" style="1" customWidth="1"/>
    <col min="3590" max="3590" width="6.5703125" style="1" bestFit="1" customWidth="1"/>
    <col min="3591" max="3595" width="12.7109375" style="1" customWidth="1"/>
    <col min="3596" max="3840" width="16.5703125" style="1"/>
    <col min="3841" max="3841" width="16.5703125" style="1" customWidth="1"/>
    <col min="3842" max="3845" width="12.7109375" style="1" customWidth="1"/>
    <col min="3846" max="3846" width="6.5703125" style="1" bestFit="1" customWidth="1"/>
    <col min="3847" max="3851" width="12.7109375" style="1" customWidth="1"/>
    <col min="3852" max="4096" width="16.5703125" style="1"/>
    <col min="4097" max="4097" width="16.5703125" style="1" customWidth="1"/>
    <col min="4098" max="4101" width="12.7109375" style="1" customWidth="1"/>
    <col min="4102" max="4102" width="6.5703125" style="1" bestFit="1" customWidth="1"/>
    <col min="4103" max="4107" width="12.7109375" style="1" customWidth="1"/>
    <col min="4108" max="4352" width="16.5703125" style="1"/>
    <col min="4353" max="4353" width="16.5703125" style="1" customWidth="1"/>
    <col min="4354" max="4357" width="12.7109375" style="1" customWidth="1"/>
    <col min="4358" max="4358" width="6.5703125" style="1" bestFit="1" customWidth="1"/>
    <col min="4359" max="4363" width="12.7109375" style="1" customWidth="1"/>
    <col min="4364" max="4608" width="16.5703125" style="1"/>
    <col min="4609" max="4609" width="16.5703125" style="1" customWidth="1"/>
    <col min="4610" max="4613" width="12.7109375" style="1" customWidth="1"/>
    <col min="4614" max="4614" width="6.5703125" style="1" bestFit="1" customWidth="1"/>
    <col min="4615" max="4619" width="12.7109375" style="1" customWidth="1"/>
    <col min="4620" max="4864" width="16.5703125" style="1"/>
    <col min="4865" max="4865" width="16.5703125" style="1" customWidth="1"/>
    <col min="4866" max="4869" width="12.7109375" style="1" customWidth="1"/>
    <col min="4870" max="4870" width="6.5703125" style="1" bestFit="1" customWidth="1"/>
    <col min="4871" max="4875" width="12.7109375" style="1" customWidth="1"/>
    <col min="4876" max="5120" width="16.5703125" style="1"/>
    <col min="5121" max="5121" width="16.5703125" style="1" customWidth="1"/>
    <col min="5122" max="5125" width="12.7109375" style="1" customWidth="1"/>
    <col min="5126" max="5126" width="6.5703125" style="1" bestFit="1" customWidth="1"/>
    <col min="5127" max="5131" width="12.7109375" style="1" customWidth="1"/>
    <col min="5132" max="5376" width="16.5703125" style="1"/>
    <col min="5377" max="5377" width="16.5703125" style="1" customWidth="1"/>
    <col min="5378" max="5381" width="12.7109375" style="1" customWidth="1"/>
    <col min="5382" max="5382" width="6.5703125" style="1" bestFit="1" customWidth="1"/>
    <col min="5383" max="5387" width="12.7109375" style="1" customWidth="1"/>
    <col min="5388" max="5632" width="16.5703125" style="1"/>
    <col min="5633" max="5633" width="16.5703125" style="1" customWidth="1"/>
    <col min="5634" max="5637" width="12.7109375" style="1" customWidth="1"/>
    <col min="5638" max="5638" width="6.5703125" style="1" bestFit="1" customWidth="1"/>
    <col min="5639" max="5643" width="12.7109375" style="1" customWidth="1"/>
    <col min="5644" max="5888" width="16.5703125" style="1"/>
    <col min="5889" max="5889" width="16.5703125" style="1" customWidth="1"/>
    <col min="5890" max="5893" width="12.7109375" style="1" customWidth="1"/>
    <col min="5894" max="5894" width="6.5703125" style="1" bestFit="1" customWidth="1"/>
    <col min="5895" max="5899" width="12.7109375" style="1" customWidth="1"/>
    <col min="5900" max="6144" width="16.5703125" style="1"/>
    <col min="6145" max="6145" width="16.5703125" style="1" customWidth="1"/>
    <col min="6146" max="6149" width="12.7109375" style="1" customWidth="1"/>
    <col min="6150" max="6150" width="6.5703125" style="1" bestFit="1" customWidth="1"/>
    <col min="6151" max="6155" width="12.7109375" style="1" customWidth="1"/>
    <col min="6156" max="6400" width="16.5703125" style="1"/>
    <col min="6401" max="6401" width="16.5703125" style="1" customWidth="1"/>
    <col min="6402" max="6405" width="12.7109375" style="1" customWidth="1"/>
    <col min="6406" max="6406" width="6.5703125" style="1" bestFit="1" customWidth="1"/>
    <col min="6407" max="6411" width="12.7109375" style="1" customWidth="1"/>
    <col min="6412" max="6656" width="16.5703125" style="1"/>
    <col min="6657" max="6657" width="16.5703125" style="1" customWidth="1"/>
    <col min="6658" max="6661" width="12.7109375" style="1" customWidth="1"/>
    <col min="6662" max="6662" width="6.5703125" style="1" bestFit="1" customWidth="1"/>
    <col min="6663" max="6667" width="12.7109375" style="1" customWidth="1"/>
    <col min="6668" max="6912" width="16.5703125" style="1"/>
    <col min="6913" max="6913" width="16.5703125" style="1" customWidth="1"/>
    <col min="6914" max="6917" width="12.7109375" style="1" customWidth="1"/>
    <col min="6918" max="6918" width="6.5703125" style="1" bestFit="1" customWidth="1"/>
    <col min="6919" max="6923" width="12.7109375" style="1" customWidth="1"/>
    <col min="6924" max="7168" width="16.5703125" style="1"/>
    <col min="7169" max="7169" width="16.5703125" style="1" customWidth="1"/>
    <col min="7170" max="7173" width="12.7109375" style="1" customWidth="1"/>
    <col min="7174" max="7174" width="6.5703125" style="1" bestFit="1" customWidth="1"/>
    <col min="7175" max="7179" width="12.7109375" style="1" customWidth="1"/>
    <col min="7180" max="7424" width="16.5703125" style="1"/>
    <col min="7425" max="7425" width="16.5703125" style="1" customWidth="1"/>
    <col min="7426" max="7429" width="12.7109375" style="1" customWidth="1"/>
    <col min="7430" max="7430" width="6.5703125" style="1" bestFit="1" customWidth="1"/>
    <col min="7431" max="7435" width="12.7109375" style="1" customWidth="1"/>
    <col min="7436" max="7680" width="16.5703125" style="1"/>
    <col min="7681" max="7681" width="16.5703125" style="1" customWidth="1"/>
    <col min="7682" max="7685" width="12.7109375" style="1" customWidth="1"/>
    <col min="7686" max="7686" width="6.5703125" style="1" bestFit="1" customWidth="1"/>
    <col min="7687" max="7691" width="12.7109375" style="1" customWidth="1"/>
    <col min="7692" max="7936" width="16.5703125" style="1"/>
    <col min="7937" max="7937" width="16.5703125" style="1" customWidth="1"/>
    <col min="7938" max="7941" width="12.7109375" style="1" customWidth="1"/>
    <col min="7942" max="7942" width="6.5703125" style="1" bestFit="1" customWidth="1"/>
    <col min="7943" max="7947" width="12.7109375" style="1" customWidth="1"/>
    <col min="7948" max="8192" width="16.5703125" style="1"/>
    <col min="8193" max="8193" width="16.5703125" style="1" customWidth="1"/>
    <col min="8194" max="8197" width="12.7109375" style="1" customWidth="1"/>
    <col min="8198" max="8198" width="6.5703125" style="1" bestFit="1" customWidth="1"/>
    <col min="8199" max="8203" width="12.7109375" style="1" customWidth="1"/>
    <col min="8204" max="8448" width="16.5703125" style="1"/>
    <col min="8449" max="8449" width="16.5703125" style="1" customWidth="1"/>
    <col min="8450" max="8453" width="12.7109375" style="1" customWidth="1"/>
    <col min="8454" max="8454" width="6.5703125" style="1" bestFit="1" customWidth="1"/>
    <col min="8455" max="8459" width="12.7109375" style="1" customWidth="1"/>
    <col min="8460" max="8704" width="16.5703125" style="1"/>
    <col min="8705" max="8705" width="16.5703125" style="1" customWidth="1"/>
    <col min="8706" max="8709" width="12.7109375" style="1" customWidth="1"/>
    <col min="8710" max="8710" width="6.5703125" style="1" bestFit="1" customWidth="1"/>
    <col min="8711" max="8715" width="12.7109375" style="1" customWidth="1"/>
    <col min="8716" max="8960" width="16.5703125" style="1"/>
    <col min="8961" max="8961" width="16.5703125" style="1" customWidth="1"/>
    <col min="8962" max="8965" width="12.7109375" style="1" customWidth="1"/>
    <col min="8966" max="8966" width="6.5703125" style="1" bestFit="1" customWidth="1"/>
    <col min="8967" max="8971" width="12.7109375" style="1" customWidth="1"/>
    <col min="8972" max="9216" width="16.5703125" style="1"/>
    <col min="9217" max="9217" width="16.5703125" style="1" customWidth="1"/>
    <col min="9218" max="9221" width="12.7109375" style="1" customWidth="1"/>
    <col min="9222" max="9222" width="6.5703125" style="1" bestFit="1" customWidth="1"/>
    <col min="9223" max="9227" width="12.7109375" style="1" customWidth="1"/>
    <col min="9228" max="9472" width="16.5703125" style="1"/>
    <col min="9473" max="9473" width="16.5703125" style="1" customWidth="1"/>
    <col min="9474" max="9477" width="12.7109375" style="1" customWidth="1"/>
    <col min="9478" max="9478" width="6.5703125" style="1" bestFit="1" customWidth="1"/>
    <col min="9479" max="9483" width="12.7109375" style="1" customWidth="1"/>
    <col min="9484" max="9728" width="16.5703125" style="1"/>
    <col min="9729" max="9729" width="16.5703125" style="1" customWidth="1"/>
    <col min="9730" max="9733" width="12.7109375" style="1" customWidth="1"/>
    <col min="9734" max="9734" width="6.5703125" style="1" bestFit="1" customWidth="1"/>
    <col min="9735" max="9739" width="12.7109375" style="1" customWidth="1"/>
    <col min="9740" max="9984" width="16.5703125" style="1"/>
    <col min="9985" max="9985" width="16.5703125" style="1" customWidth="1"/>
    <col min="9986" max="9989" width="12.7109375" style="1" customWidth="1"/>
    <col min="9990" max="9990" width="6.5703125" style="1" bestFit="1" customWidth="1"/>
    <col min="9991" max="9995" width="12.7109375" style="1" customWidth="1"/>
    <col min="9996" max="10240" width="16.5703125" style="1"/>
    <col min="10241" max="10241" width="16.5703125" style="1" customWidth="1"/>
    <col min="10242" max="10245" width="12.7109375" style="1" customWidth="1"/>
    <col min="10246" max="10246" width="6.5703125" style="1" bestFit="1" customWidth="1"/>
    <col min="10247" max="10251" width="12.7109375" style="1" customWidth="1"/>
    <col min="10252" max="10496" width="16.5703125" style="1"/>
    <col min="10497" max="10497" width="16.5703125" style="1" customWidth="1"/>
    <col min="10498" max="10501" width="12.7109375" style="1" customWidth="1"/>
    <col min="10502" max="10502" width="6.5703125" style="1" bestFit="1" customWidth="1"/>
    <col min="10503" max="10507" width="12.7109375" style="1" customWidth="1"/>
    <col min="10508" max="10752" width="16.5703125" style="1"/>
    <col min="10753" max="10753" width="16.5703125" style="1" customWidth="1"/>
    <col min="10754" max="10757" width="12.7109375" style="1" customWidth="1"/>
    <col min="10758" max="10758" width="6.5703125" style="1" bestFit="1" customWidth="1"/>
    <col min="10759" max="10763" width="12.7109375" style="1" customWidth="1"/>
    <col min="10764" max="11008" width="16.5703125" style="1"/>
    <col min="11009" max="11009" width="16.5703125" style="1" customWidth="1"/>
    <col min="11010" max="11013" width="12.7109375" style="1" customWidth="1"/>
    <col min="11014" max="11014" width="6.5703125" style="1" bestFit="1" customWidth="1"/>
    <col min="11015" max="11019" width="12.7109375" style="1" customWidth="1"/>
    <col min="11020" max="11264" width="16.5703125" style="1"/>
    <col min="11265" max="11265" width="16.5703125" style="1" customWidth="1"/>
    <col min="11266" max="11269" width="12.7109375" style="1" customWidth="1"/>
    <col min="11270" max="11270" width="6.5703125" style="1" bestFit="1" customWidth="1"/>
    <col min="11271" max="11275" width="12.7109375" style="1" customWidth="1"/>
    <col min="11276" max="11520" width="16.5703125" style="1"/>
    <col min="11521" max="11521" width="16.5703125" style="1" customWidth="1"/>
    <col min="11522" max="11525" width="12.7109375" style="1" customWidth="1"/>
    <col min="11526" max="11526" width="6.5703125" style="1" bestFit="1" customWidth="1"/>
    <col min="11527" max="11531" width="12.7109375" style="1" customWidth="1"/>
    <col min="11532" max="11776" width="16.5703125" style="1"/>
    <col min="11777" max="11777" width="16.5703125" style="1" customWidth="1"/>
    <col min="11778" max="11781" width="12.7109375" style="1" customWidth="1"/>
    <col min="11782" max="11782" width="6.5703125" style="1" bestFit="1" customWidth="1"/>
    <col min="11783" max="11787" width="12.7109375" style="1" customWidth="1"/>
    <col min="11788" max="12032" width="16.5703125" style="1"/>
    <col min="12033" max="12033" width="16.5703125" style="1" customWidth="1"/>
    <col min="12034" max="12037" width="12.7109375" style="1" customWidth="1"/>
    <col min="12038" max="12038" width="6.5703125" style="1" bestFit="1" customWidth="1"/>
    <col min="12039" max="12043" width="12.7109375" style="1" customWidth="1"/>
    <col min="12044" max="12288" width="16.5703125" style="1"/>
    <col min="12289" max="12289" width="16.5703125" style="1" customWidth="1"/>
    <col min="12290" max="12293" width="12.7109375" style="1" customWidth="1"/>
    <col min="12294" max="12294" width="6.5703125" style="1" bestFit="1" customWidth="1"/>
    <col min="12295" max="12299" width="12.7109375" style="1" customWidth="1"/>
    <col min="12300" max="12544" width="16.5703125" style="1"/>
    <col min="12545" max="12545" width="16.5703125" style="1" customWidth="1"/>
    <col min="12546" max="12549" width="12.7109375" style="1" customWidth="1"/>
    <col min="12550" max="12550" width="6.5703125" style="1" bestFit="1" customWidth="1"/>
    <col min="12551" max="12555" width="12.7109375" style="1" customWidth="1"/>
    <col min="12556" max="12800" width="16.5703125" style="1"/>
    <col min="12801" max="12801" width="16.5703125" style="1" customWidth="1"/>
    <col min="12802" max="12805" width="12.7109375" style="1" customWidth="1"/>
    <col min="12806" max="12806" width="6.5703125" style="1" bestFit="1" customWidth="1"/>
    <col min="12807" max="12811" width="12.7109375" style="1" customWidth="1"/>
    <col min="12812" max="13056" width="16.5703125" style="1"/>
    <col min="13057" max="13057" width="16.5703125" style="1" customWidth="1"/>
    <col min="13058" max="13061" width="12.7109375" style="1" customWidth="1"/>
    <col min="13062" max="13062" width="6.5703125" style="1" bestFit="1" customWidth="1"/>
    <col min="13063" max="13067" width="12.7109375" style="1" customWidth="1"/>
    <col min="13068" max="13312" width="16.5703125" style="1"/>
    <col min="13313" max="13313" width="16.5703125" style="1" customWidth="1"/>
    <col min="13314" max="13317" width="12.7109375" style="1" customWidth="1"/>
    <col min="13318" max="13318" width="6.5703125" style="1" bestFit="1" customWidth="1"/>
    <col min="13319" max="13323" width="12.7109375" style="1" customWidth="1"/>
    <col min="13324" max="13568" width="16.5703125" style="1"/>
    <col min="13569" max="13569" width="16.5703125" style="1" customWidth="1"/>
    <col min="13570" max="13573" width="12.7109375" style="1" customWidth="1"/>
    <col min="13574" max="13574" width="6.5703125" style="1" bestFit="1" customWidth="1"/>
    <col min="13575" max="13579" width="12.7109375" style="1" customWidth="1"/>
    <col min="13580" max="13824" width="16.5703125" style="1"/>
    <col min="13825" max="13825" width="16.5703125" style="1" customWidth="1"/>
    <col min="13826" max="13829" width="12.7109375" style="1" customWidth="1"/>
    <col min="13830" max="13830" width="6.5703125" style="1" bestFit="1" customWidth="1"/>
    <col min="13831" max="13835" width="12.7109375" style="1" customWidth="1"/>
    <col min="13836" max="14080" width="16.5703125" style="1"/>
    <col min="14081" max="14081" width="16.5703125" style="1" customWidth="1"/>
    <col min="14082" max="14085" width="12.7109375" style="1" customWidth="1"/>
    <col min="14086" max="14086" width="6.5703125" style="1" bestFit="1" customWidth="1"/>
    <col min="14087" max="14091" width="12.7109375" style="1" customWidth="1"/>
    <col min="14092" max="14336" width="16.5703125" style="1"/>
    <col min="14337" max="14337" width="16.5703125" style="1" customWidth="1"/>
    <col min="14338" max="14341" width="12.7109375" style="1" customWidth="1"/>
    <col min="14342" max="14342" width="6.5703125" style="1" bestFit="1" customWidth="1"/>
    <col min="14343" max="14347" width="12.7109375" style="1" customWidth="1"/>
    <col min="14348" max="14592" width="16.5703125" style="1"/>
    <col min="14593" max="14593" width="16.5703125" style="1" customWidth="1"/>
    <col min="14594" max="14597" width="12.7109375" style="1" customWidth="1"/>
    <col min="14598" max="14598" width="6.5703125" style="1" bestFit="1" customWidth="1"/>
    <col min="14599" max="14603" width="12.7109375" style="1" customWidth="1"/>
    <col min="14604" max="14848" width="16.5703125" style="1"/>
    <col min="14849" max="14849" width="16.5703125" style="1" customWidth="1"/>
    <col min="14850" max="14853" width="12.7109375" style="1" customWidth="1"/>
    <col min="14854" max="14854" width="6.5703125" style="1" bestFit="1" customWidth="1"/>
    <col min="14855" max="14859" width="12.7109375" style="1" customWidth="1"/>
    <col min="14860" max="15104" width="16.5703125" style="1"/>
    <col min="15105" max="15105" width="16.5703125" style="1" customWidth="1"/>
    <col min="15106" max="15109" width="12.7109375" style="1" customWidth="1"/>
    <col min="15110" max="15110" width="6.5703125" style="1" bestFit="1" customWidth="1"/>
    <col min="15111" max="15115" width="12.7109375" style="1" customWidth="1"/>
    <col min="15116" max="15360" width="16.5703125" style="1"/>
    <col min="15361" max="15361" width="16.5703125" style="1" customWidth="1"/>
    <col min="15362" max="15365" width="12.7109375" style="1" customWidth="1"/>
    <col min="15366" max="15366" width="6.5703125" style="1" bestFit="1" customWidth="1"/>
    <col min="15367" max="15371" width="12.7109375" style="1" customWidth="1"/>
    <col min="15372" max="15616" width="16.5703125" style="1"/>
    <col min="15617" max="15617" width="16.5703125" style="1" customWidth="1"/>
    <col min="15618" max="15621" width="12.7109375" style="1" customWidth="1"/>
    <col min="15622" max="15622" width="6.5703125" style="1" bestFit="1" customWidth="1"/>
    <col min="15623" max="15627" width="12.7109375" style="1" customWidth="1"/>
    <col min="15628" max="15872" width="16.5703125" style="1"/>
    <col min="15873" max="15873" width="16.5703125" style="1" customWidth="1"/>
    <col min="15874" max="15877" width="12.7109375" style="1" customWidth="1"/>
    <col min="15878" max="15878" width="6.5703125" style="1" bestFit="1" customWidth="1"/>
    <col min="15879" max="15883" width="12.7109375" style="1" customWidth="1"/>
    <col min="15884" max="16128" width="16.5703125" style="1"/>
    <col min="16129" max="16129" width="16.5703125" style="1" customWidth="1"/>
    <col min="16130" max="16133" width="12.7109375" style="1" customWidth="1"/>
    <col min="16134" max="16134" width="6.5703125" style="1" bestFit="1" customWidth="1"/>
    <col min="16135" max="16139" width="12.7109375" style="1" customWidth="1"/>
    <col min="16140" max="16384" width="16.5703125" style="1"/>
  </cols>
  <sheetData>
    <row r="1" spans="1:14" x14ac:dyDescent="0.25">
      <c r="A1" s="334" t="s">
        <v>54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x14ac:dyDescent="0.25">
      <c r="A3" s="334" t="s">
        <v>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4" x14ac:dyDescent="0.25">
      <c r="A4" s="3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x14ac:dyDescent="0.25">
      <c r="A5" s="3" t="s">
        <v>2</v>
      </c>
      <c r="B5" s="5"/>
      <c r="C5" s="5"/>
      <c r="D5" s="5"/>
      <c r="E5" s="6"/>
      <c r="F5" s="6"/>
      <c r="G5" s="6"/>
    </row>
    <row r="6" spans="1:14" x14ac:dyDescent="0.25">
      <c r="C6" s="335" t="s">
        <v>3</v>
      </c>
      <c r="D6" s="335"/>
      <c r="E6" s="336"/>
      <c r="F6" s="336"/>
      <c r="G6" s="336"/>
      <c r="H6" s="335" t="s">
        <v>4</v>
      </c>
      <c r="I6" s="335"/>
      <c r="J6" s="335"/>
      <c r="K6" s="335"/>
    </row>
    <row r="7" spans="1:14" x14ac:dyDescent="0.25">
      <c r="A7" s="337" t="s">
        <v>5</v>
      </c>
      <c r="B7" s="339" t="s">
        <v>6</v>
      </c>
      <c r="C7" s="339" t="s">
        <v>7</v>
      </c>
      <c r="D7" s="339" t="s">
        <v>8</v>
      </c>
      <c r="E7" s="340" t="s">
        <v>9</v>
      </c>
      <c r="F7" s="340" t="s">
        <v>10</v>
      </c>
      <c r="G7" s="337" t="s">
        <v>11</v>
      </c>
      <c r="H7" s="340" t="s">
        <v>12</v>
      </c>
      <c r="I7" s="340" t="s">
        <v>13</v>
      </c>
      <c r="J7" s="340" t="s">
        <v>14</v>
      </c>
      <c r="K7" s="340" t="s">
        <v>15</v>
      </c>
      <c r="L7" s="57" t="s">
        <v>16</v>
      </c>
    </row>
    <row r="8" spans="1:14" ht="21" customHeight="1" x14ac:dyDescent="0.25">
      <c r="A8" s="338"/>
      <c r="B8" s="339"/>
      <c r="C8" s="339"/>
      <c r="D8" s="339"/>
      <c r="E8" s="340"/>
      <c r="F8" s="340"/>
      <c r="G8" s="338"/>
      <c r="H8" s="340"/>
      <c r="I8" s="340"/>
      <c r="J8" s="340"/>
      <c r="K8" s="340"/>
      <c r="L8" s="8" t="s">
        <v>17</v>
      </c>
    </row>
    <row r="9" spans="1:14" s="17" customFormat="1" x14ac:dyDescent="0.25">
      <c r="A9" s="9" t="s">
        <v>18</v>
      </c>
      <c r="B9" s="10">
        <v>10284399.08</v>
      </c>
      <c r="C9" s="10">
        <v>5727078.2300000004</v>
      </c>
      <c r="D9" s="11">
        <v>0</v>
      </c>
      <c r="E9" s="10">
        <v>3906858.95</v>
      </c>
      <c r="F9" s="12">
        <f>+E9/C9</f>
        <v>0.68217314188844247</v>
      </c>
      <c r="G9" s="10">
        <f t="shared" ref="G9:G20" si="0">+C9+D9-E9</f>
        <v>1820219.2800000003</v>
      </c>
      <c r="H9" s="13">
        <f>136663.85+1477973.66</f>
        <v>1614637.51</v>
      </c>
      <c r="I9" s="14">
        <f>205590.6+10000+17400</f>
        <v>232990.6</v>
      </c>
      <c r="J9" s="14">
        <f>13617+13791.83</f>
        <v>27408.83</v>
      </c>
      <c r="K9" s="14">
        <f>H9+I9-J9</f>
        <v>1820219.28</v>
      </c>
      <c r="L9" s="15">
        <f>+F9</f>
        <v>0.68217314188844247</v>
      </c>
      <c r="M9" s="61">
        <f>+K9-G9</f>
        <v>0</v>
      </c>
      <c r="N9" s="16"/>
    </row>
    <row r="10" spans="1:14" x14ac:dyDescent="0.2">
      <c r="A10" s="9" t="s">
        <v>20</v>
      </c>
      <c r="B10" s="10">
        <v>25204741</v>
      </c>
      <c r="C10" s="10">
        <v>8422130</v>
      </c>
      <c r="D10" s="11">
        <v>0</v>
      </c>
      <c r="E10" s="10">
        <v>9265131.7699999996</v>
      </c>
      <c r="F10" s="12">
        <f t="shared" ref="F10:F15" si="1">+E10/C10</f>
        <v>1.100093654455583</v>
      </c>
      <c r="G10" s="10">
        <f t="shared" si="0"/>
        <v>-843001.76999999955</v>
      </c>
      <c r="H10" s="13">
        <f>70563.59-456581.06</f>
        <v>-386017.47</v>
      </c>
      <c r="I10" s="14">
        <v>201152.37</v>
      </c>
      <c r="J10" s="14">
        <f>602027+6289.27+43111.51</f>
        <v>651427.78</v>
      </c>
      <c r="K10" s="14">
        <f t="shared" ref="K10:K18" si="2">H10+I10-J10</f>
        <v>-836292.88</v>
      </c>
      <c r="L10" s="15">
        <f t="shared" ref="L10:L20" si="3">+F10</f>
        <v>1.100093654455583</v>
      </c>
      <c r="M10" s="71">
        <f>+K10-G10</f>
        <v>6708.8899999995483</v>
      </c>
      <c r="N10" s="18"/>
    </row>
    <row r="11" spans="1:14" x14ac:dyDescent="0.2">
      <c r="A11" s="9" t="s">
        <v>21</v>
      </c>
      <c r="B11" s="10"/>
      <c r="C11" s="10">
        <v>46443</v>
      </c>
      <c r="D11" s="11">
        <v>0</v>
      </c>
      <c r="E11" s="11">
        <v>0</v>
      </c>
      <c r="F11" s="12">
        <f t="shared" si="1"/>
        <v>0</v>
      </c>
      <c r="G11" s="10">
        <f t="shared" si="0"/>
        <v>46443</v>
      </c>
      <c r="H11" s="13">
        <v>47443</v>
      </c>
      <c r="I11" s="14">
        <v>0</v>
      </c>
      <c r="J11" s="14">
        <v>1000</v>
      </c>
      <c r="K11" s="14">
        <f t="shared" si="2"/>
        <v>46443</v>
      </c>
      <c r="L11" s="15">
        <f t="shared" si="3"/>
        <v>0</v>
      </c>
      <c r="M11" s="62">
        <f>+K11-G11</f>
        <v>0</v>
      </c>
    </row>
    <row r="12" spans="1:14" x14ac:dyDescent="0.2">
      <c r="A12" s="9" t="s">
        <v>22</v>
      </c>
      <c r="B12" s="10"/>
      <c r="C12" s="10">
        <v>97167</v>
      </c>
      <c r="D12" s="11">
        <v>0</v>
      </c>
      <c r="E12" s="11">
        <v>0</v>
      </c>
      <c r="F12" s="12">
        <f t="shared" si="1"/>
        <v>0</v>
      </c>
      <c r="G12" s="10">
        <f t="shared" si="0"/>
        <v>97167</v>
      </c>
      <c r="H12" s="13">
        <v>98167</v>
      </c>
      <c r="I12" s="14"/>
      <c r="J12" s="14">
        <v>1000</v>
      </c>
      <c r="K12" s="14">
        <f t="shared" si="2"/>
        <v>97167</v>
      </c>
      <c r="L12" s="15">
        <f t="shared" si="3"/>
        <v>0</v>
      </c>
      <c r="M12" s="62">
        <f>+K12-G12</f>
        <v>0</v>
      </c>
    </row>
    <row r="13" spans="1:14" x14ac:dyDescent="0.2">
      <c r="A13" s="9" t="s">
        <v>23</v>
      </c>
      <c r="B13" s="10"/>
      <c r="C13" s="10">
        <v>326829</v>
      </c>
      <c r="D13" s="11">
        <v>0</v>
      </c>
      <c r="E13" s="11">
        <v>0</v>
      </c>
      <c r="F13" s="12">
        <f t="shared" si="1"/>
        <v>0</v>
      </c>
      <c r="G13" s="10">
        <f t="shared" si="0"/>
        <v>326829</v>
      </c>
      <c r="H13" s="13">
        <v>327829</v>
      </c>
      <c r="I13" s="14"/>
      <c r="J13" s="14">
        <v>1000</v>
      </c>
      <c r="K13" s="14">
        <f t="shared" si="2"/>
        <v>326829</v>
      </c>
      <c r="L13" s="15">
        <f t="shared" si="3"/>
        <v>0</v>
      </c>
      <c r="M13" s="62">
        <f t="shared" ref="M13:M19" si="4">+K13-G13</f>
        <v>0</v>
      </c>
    </row>
    <row r="14" spans="1:14" x14ac:dyDescent="0.2">
      <c r="A14" s="9" t="s">
        <v>24</v>
      </c>
      <c r="B14" s="10">
        <v>12977087</v>
      </c>
      <c r="C14" s="10">
        <v>5834512.3600000003</v>
      </c>
      <c r="D14" s="11">
        <v>0</v>
      </c>
      <c r="E14" s="10">
        <v>5162869.24</v>
      </c>
      <c r="F14" s="12">
        <f t="shared" si="1"/>
        <v>0.88488444645269382</v>
      </c>
      <c r="G14" s="10">
        <f t="shared" si="0"/>
        <v>671643.12000000011</v>
      </c>
      <c r="H14" s="13">
        <v>965057.76</v>
      </c>
      <c r="I14" s="14">
        <f>553</f>
        <v>553</v>
      </c>
      <c r="J14" s="14">
        <f>270278+23693</f>
        <v>293971</v>
      </c>
      <c r="K14" s="14">
        <f t="shared" si="2"/>
        <v>671639.76</v>
      </c>
      <c r="L14" s="15">
        <f t="shared" si="3"/>
        <v>0.88488444645269382</v>
      </c>
      <c r="M14" s="61">
        <f t="shared" si="4"/>
        <v>-3.3600000001024455</v>
      </c>
    </row>
    <row r="15" spans="1:14" x14ac:dyDescent="0.2">
      <c r="A15" s="9" t="s">
        <v>25</v>
      </c>
      <c r="B15" s="10"/>
      <c r="C15" s="10">
        <v>153441</v>
      </c>
      <c r="D15" s="11">
        <v>0</v>
      </c>
      <c r="E15" s="10">
        <v>9717.48</v>
      </c>
      <c r="F15" s="12">
        <f t="shared" si="1"/>
        <v>6.3330400610006443E-2</v>
      </c>
      <c r="G15" s="10">
        <f t="shared" si="0"/>
        <v>143723.51999999999</v>
      </c>
      <c r="H15" s="13">
        <v>144723.51999999999</v>
      </c>
      <c r="I15" s="14">
        <v>0</v>
      </c>
      <c r="J15" s="14">
        <v>1000</v>
      </c>
      <c r="K15" s="14">
        <f t="shared" si="2"/>
        <v>143723.51999999999</v>
      </c>
      <c r="L15" s="15">
        <f t="shared" si="3"/>
        <v>6.3330400610006443E-2</v>
      </c>
      <c r="M15" s="62">
        <f t="shared" si="4"/>
        <v>0</v>
      </c>
    </row>
    <row r="16" spans="1:14" x14ac:dyDescent="0.2">
      <c r="A16" s="9" t="s">
        <v>53</v>
      </c>
      <c r="B16" s="10"/>
      <c r="C16" s="11">
        <v>0</v>
      </c>
      <c r="D16" s="11"/>
      <c r="E16" s="11">
        <v>0</v>
      </c>
      <c r="F16" s="12">
        <v>0</v>
      </c>
      <c r="G16" s="14">
        <f t="shared" si="0"/>
        <v>0</v>
      </c>
      <c r="H16" s="11"/>
      <c r="I16" s="14">
        <v>0</v>
      </c>
      <c r="J16" s="14">
        <v>0</v>
      </c>
      <c r="K16" s="14">
        <f t="shared" si="2"/>
        <v>0</v>
      </c>
      <c r="L16" s="15">
        <f t="shared" si="3"/>
        <v>0</v>
      </c>
      <c r="M16" s="64">
        <f t="shared" si="4"/>
        <v>0</v>
      </c>
    </row>
    <row r="17" spans="1:15" x14ac:dyDescent="0.2">
      <c r="A17" s="9" t="s">
        <v>27</v>
      </c>
      <c r="B17" s="10"/>
      <c r="C17" s="11">
        <v>0</v>
      </c>
      <c r="D17" s="11">
        <v>0</v>
      </c>
      <c r="E17" s="11">
        <v>0</v>
      </c>
      <c r="F17" s="12">
        <v>0</v>
      </c>
      <c r="G17" s="14">
        <f t="shared" si="0"/>
        <v>0</v>
      </c>
      <c r="H17" s="11"/>
      <c r="I17" s="14">
        <v>0</v>
      </c>
      <c r="J17" s="14">
        <v>0</v>
      </c>
      <c r="K17" s="14">
        <f t="shared" si="2"/>
        <v>0</v>
      </c>
      <c r="L17" s="15">
        <f t="shared" si="3"/>
        <v>0</v>
      </c>
      <c r="M17" s="64">
        <f t="shared" si="4"/>
        <v>0</v>
      </c>
    </row>
    <row r="18" spans="1:15" x14ac:dyDescent="0.2">
      <c r="A18" s="9" t="s">
        <v>28</v>
      </c>
      <c r="B18" s="10"/>
      <c r="C18" s="10">
        <v>11943.06</v>
      </c>
      <c r="D18" s="11">
        <v>0</v>
      </c>
      <c r="E18" s="11">
        <v>0</v>
      </c>
      <c r="F18" s="12">
        <f>+E18/C18</f>
        <v>0</v>
      </c>
      <c r="G18" s="10">
        <f t="shared" si="0"/>
        <v>11943.06</v>
      </c>
      <c r="H18" s="13">
        <v>12943.06</v>
      </c>
      <c r="I18" s="14">
        <v>0</v>
      </c>
      <c r="J18" s="14">
        <v>1000</v>
      </c>
      <c r="K18" s="14">
        <f t="shared" si="2"/>
        <v>11943.06</v>
      </c>
      <c r="L18" s="15">
        <f t="shared" si="3"/>
        <v>0</v>
      </c>
      <c r="M18" s="62">
        <f t="shared" si="4"/>
        <v>0</v>
      </c>
      <c r="N18" s="18"/>
    </row>
    <row r="19" spans="1:15" x14ac:dyDescent="0.2">
      <c r="A19" s="9" t="s">
        <v>29</v>
      </c>
      <c r="B19" s="10"/>
      <c r="C19" s="10">
        <v>8391819</v>
      </c>
      <c r="D19" s="11">
        <v>0</v>
      </c>
      <c r="E19" s="11">
        <v>0</v>
      </c>
      <c r="F19" s="12">
        <f>+E19/C19</f>
        <v>0</v>
      </c>
      <c r="G19" s="10">
        <f t="shared" si="0"/>
        <v>8391819</v>
      </c>
      <c r="H19" s="13">
        <v>8392819</v>
      </c>
      <c r="I19" s="14">
        <v>0</v>
      </c>
      <c r="J19" s="14">
        <v>1000</v>
      </c>
      <c r="K19" s="14">
        <f>H19+I19-J19</f>
        <v>8391819</v>
      </c>
      <c r="L19" s="15">
        <f t="shared" si="3"/>
        <v>0</v>
      </c>
      <c r="M19" s="62">
        <f t="shared" si="4"/>
        <v>0</v>
      </c>
      <c r="N19" s="18"/>
      <c r="O19" s="18"/>
    </row>
    <row r="20" spans="1:15" x14ac:dyDescent="0.2">
      <c r="A20" s="9" t="s">
        <v>30</v>
      </c>
      <c r="B20" s="10">
        <v>19272339</v>
      </c>
      <c r="C20" s="10">
        <v>8821240</v>
      </c>
      <c r="D20" s="11">
        <v>0</v>
      </c>
      <c r="E20" s="10">
        <v>6955951.3399999999</v>
      </c>
      <c r="F20" s="12">
        <f>+E20/C20</f>
        <v>0.78854575320476483</v>
      </c>
      <c r="G20" s="10">
        <f t="shared" si="0"/>
        <v>1865288.6600000001</v>
      </c>
      <c r="H20" s="13">
        <v>1922282.66</v>
      </c>
      <c r="I20" s="14">
        <v>10900</v>
      </c>
      <c r="J20" s="14">
        <f>44644+23250</f>
        <v>67894</v>
      </c>
      <c r="K20" s="14">
        <f>H20+I20-J20</f>
        <v>1865288.66</v>
      </c>
      <c r="L20" s="15">
        <f t="shared" si="3"/>
        <v>0.78854575320476483</v>
      </c>
      <c r="M20" s="61">
        <f>+K20-G20</f>
        <v>0</v>
      </c>
      <c r="N20" s="19"/>
      <c r="O20" s="18"/>
    </row>
    <row r="21" spans="1:15" s="5" customFormat="1" x14ac:dyDescent="0.2">
      <c r="A21" s="20" t="s">
        <v>51</v>
      </c>
      <c r="B21" s="21">
        <f>SUM(B9:B20)</f>
        <v>67738566.079999998</v>
      </c>
      <c r="C21" s="21">
        <f>SUM(C9:C20)</f>
        <v>37832602.649999999</v>
      </c>
      <c r="D21" s="21">
        <f>SUM(D9:D20)</f>
        <v>0</v>
      </c>
      <c r="E21" s="21">
        <f>SUM(E9:E20)</f>
        <v>25300528.780000001</v>
      </c>
      <c r="F21" s="21">
        <f t="shared" ref="F21:K21" si="5">SUM(F9:F20)</f>
        <v>3.5190273966114907</v>
      </c>
      <c r="G21" s="21">
        <f t="shared" si="5"/>
        <v>12532073.870000001</v>
      </c>
      <c r="H21" s="21">
        <f t="shared" si="5"/>
        <v>13139885.039999999</v>
      </c>
      <c r="I21" s="21">
        <f t="shared" si="5"/>
        <v>445595.97</v>
      </c>
      <c r="J21" s="21">
        <f t="shared" si="5"/>
        <v>1046701.61</v>
      </c>
      <c r="K21" s="21">
        <f t="shared" si="5"/>
        <v>12538779.4</v>
      </c>
      <c r="L21" s="23"/>
      <c r="M21" s="62">
        <f>+K21-G21</f>
        <v>6705.5299999993294</v>
      </c>
    </row>
    <row r="22" spans="1:15" s="17" customFormat="1" x14ac:dyDescent="0.25">
      <c r="A22" s="9" t="s">
        <v>18</v>
      </c>
      <c r="B22" s="10">
        <v>9497181.3399999999</v>
      </c>
      <c r="C22" s="10">
        <v>9497181.3399999999</v>
      </c>
      <c r="D22" s="11">
        <v>0</v>
      </c>
      <c r="E22" s="10">
        <v>8522902.6999999993</v>
      </c>
      <c r="F22" s="12">
        <f>+E22/C22</f>
        <v>0.89741391628518696</v>
      </c>
      <c r="G22" s="10">
        <f>+C22+D22-E22</f>
        <v>974278.6400000006</v>
      </c>
      <c r="H22" s="13">
        <f>781984.35-0.47</f>
        <v>781983.88</v>
      </c>
      <c r="I22" s="14">
        <f>22013.2+172259.48</f>
        <v>194272.68000000002</v>
      </c>
      <c r="J22" s="14">
        <f>-4302.52+6280.44</f>
        <v>1977.9199999999992</v>
      </c>
      <c r="K22" s="14">
        <f>H22+I22-J22</f>
        <v>974278.64</v>
      </c>
      <c r="L22" s="15">
        <f>+F22</f>
        <v>0.89741391628518696</v>
      </c>
      <c r="M22" s="65">
        <f t="shared" ref="M22:M33" si="6">+K22-G22</f>
        <v>0</v>
      </c>
    </row>
    <row r="23" spans="1:15" x14ac:dyDescent="0.2">
      <c r="A23" s="9" t="s">
        <v>20</v>
      </c>
      <c r="B23" s="10">
        <v>28461059.77</v>
      </c>
      <c r="C23" s="10">
        <f>+B23</f>
        <v>28461059.77</v>
      </c>
      <c r="D23" s="11">
        <v>0</v>
      </c>
      <c r="E23" s="10">
        <v>27479996.23</v>
      </c>
      <c r="F23" s="12">
        <f t="shared" ref="F23:F35" si="7">+E23/C23</f>
        <v>0.96552962019235455</v>
      </c>
      <c r="G23" s="10">
        <f>+C23+D23-E23</f>
        <v>981063.53999999911</v>
      </c>
      <c r="H23" s="13">
        <f>170500+1827605.1</f>
        <v>1998105.1</v>
      </c>
      <c r="I23" s="14">
        <v>0</v>
      </c>
      <c r="J23" s="14">
        <f>854134.16+162187.53+719.87</f>
        <v>1017041.56</v>
      </c>
      <c r="K23" s="14">
        <f t="shared" ref="K23:K86" si="8">H23+I23-J23</f>
        <v>981063.54</v>
      </c>
      <c r="L23" s="15">
        <f t="shared" ref="L23:L38" si="9">+F23</f>
        <v>0.96552962019235455</v>
      </c>
      <c r="M23" s="65">
        <f t="shared" si="6"/>
        <v>9.3132257461547852E-10</v>
      </c>
      <c r="N23" s="18"/>
    </row>
    <row r="24" spans="1:15" x14ac:dyDescent="0.2">
      <c r="A24" s="9" t="s">
        <v>21</v>
      </c>
      <c r="B24" s="10">
        <v>266576.99</v>
      </c>
      <c r="C24" s="10">
        <v>266576.99</v>
      </c>
      <c r="D24" s="11">
        <v>0</v>
      </c>
      <c r="E24" s="10">
        <v>80893</v>
      </c>
      <c r="F24" s="12">
        <f t="shared" si="7"/>
        <v>0.30345079670979858</v>
      </c>
      <c r="G24" s="10">
        <f>+C24+D24-E24</f>
        <v>185683.99</v>
      </c>
      <c r="H24" s="13">
        <v>185683.99</v>
      </c>
      <c r="I24" s="14">
        <v>0</v>
      </c>
      <c r="J24" s="14">
        <v>0</v>
      </c>
      <c r="K24" s="14">
        <f t="shared" si="8"/>
        <v>185683.99</v>
      </c>
      <c r="L24" s="15">
        <f t="shared" si="9"/>
        <v>0.30345079670979858</v>
      </c>
      <c r="M24" s="65">
        <f t="shared" si="6"/>
        <v>0</v>
      </c>
    </row>
    <row r="25" spans="1:15" x14ac:dyDescent="0.2">
      <c r="A25" s="9" t="s">
        <v>22</v>
      </c>
      <c r="B25" s="10">
        <v>757786.85</v>
      </c>
      <c r="C25" s="10">
        <v>757786.85</v>
      </c>
      <c r="D25" s="10">
        <v>149.51</v>
      </c>
      <c r="E25" s="10">
        <v>201977</v>
      </c>
      <c r="F25" s="12">
        <f t="shared" si="7"/>
        <v>0.26653537205086103</v>
      </c>
      <c r="G25" s="10">
        <f t="shared" ref="G25:G33" si="10">+C25+D25-E25</f>
        <v>555959.36</v>
      </c>
      <c r="H25" s="13">
        <v>555959.36</v>
      </c>
      <c r="I25" s="14">
        <v>0</v>
      </c>
      <c r="J25" s="14">
        <v>0</v>
      </c>
      <c r="K25" s="14">
        <f t="shared" si="8"/>
        <v>555959.36</v>
      </c>
      <c r="L25" s="15">
        <f t="shared" si="9"/>
        <v>0.26653537205086103</v>
      </c>
      <c r="M25" s="65">
        <f t="shared" si="6"/>
        <v>0</v>
      </c>
    </row>
    <row r="26" spans="1:15" x14ac:dyDescent="0.2">
      <c r="A26" s="9" t="s">
        <v>23</v>
      </c>
      <c r="B26" s="10">
        <v>919872.2</v>
      </c>
      <c r="C26" s="10">
        <v>919872.2</v>
      </c>
      <c r="D26" s="10">
        <v>408.58</v>
      </c>
      <c r="E26" s="10">
        <v>788192.61</v>
      </c>
      <c r="F26" s="12">
        <f t="shared" si="7"/>
        <v>0.85685012548482287</v>
      </c>
      <c r="G26" s="10">
        <f t="shared" si="10"/>
        <v>132088.16999999993</v>
      </c>
      <c r="H26" s="13">
        <v>132088.17000000001</v>
      </c>
      <c r="I26" s="14">
        <v>0</v>
      </c>
      <c r="J26" s="14">
        <v>0</v>
      </c>
      <c r="K26" s="14">
        <f t="shared" si="8"/>
        <v>132088.17000000001</v>
      </c>
      <c r="L26" s="15">
        <f t="shared" si="9"/>
        <v>0.85685012548482287</v>
      </c>
      <c r="M26" s="65">
        <f t="shared" si="6"/>
        <v>0</v>
      </c>
    </row>
    <row r="27" spans="1:15" x14ac:dyDescent="0.2">
      <c r="A27" s="9" t="s">
        <v>24</v>
      </c>
      <c r="B27" s="10">
        <v>0</v>
      </c>
      <c r="C27" s="10">
        <v>423848.18</v>
      </c>
      <c r="D27" s="11">
        <v>0</v>
      </c>
      <c r="E27" s="10">
        <v>0</v>
      </c>
      <c r="F27" s="12">
        <f t="shared" si="7"/>
        <v>0</v>
      </c>
      <c r="G27" s="10">
        <f>+C27+D27-E27</f>
        <v>423848.18</v>
      </c>
      <c r="H27" s="13">
        <v>720930.97</v>
      </c>
      <c r="I27" s="14">
        <v>1120</v>
      </c>
      <c r="J27" s="14">
        <f>287062+8756.79+2388</f>
        <v>298206.78999999998</v>
      </c>
      <c r="K27" s="14">
        <f t="shared" si="8"/>
        <v>423844.18</v>
      </c>
      <c r="L27" s="15">
        <f t="shared" si="9"/>
        <v>0</v>
      </c>
      <c r="M27" s="61">
        <f t="shared" si="6"/>
        <v>-4</v>
      </c>
    </row>
    <row r="28" spans="1:15" x14ac:dyDescent="0.2">
      <c r="A28" s="9" t="s">
        <v>25</v>
      </c>
      <c r="B28" s="10">
        <v>868753.03</v>
      </c>
      <c r="C28" s="10">
        <v>868753.03</v>
      </c>
      <c r="D28" s="10">
        <v>131.31</v>
      </c>
      <c r="E28" s="10">
        <v>542712.97</v>
      </c>
      <c r="F28" s="12">
        <f t="shared" si="7"/>
        <v>0.624703398156781</v>
      </c>
      <c r="G28" s="10">
        <f t="shared" si="10"/>
        <v>326171.37000000011</v>
      </c>
      <c r="H28" s="13">
        <v>326171.37</v>
      </c>
      <c r="I28" s="14">
        <v>0</v>
      </c>
      <c r="J28" s="14">
        <v>0</v>
      </c>
      <c r="K28" s="14">
        <f t="shared" si="8"/>
        <v>326171.37</v>
      </c>
      <c r="L28" s="15">
        <f t="shared" si="9"/>
        <v>0.624703398156781</v>
      </c>
      <c r="M28" s="65">
        <f t="shared" si="6"/>
        <v>0</v>
      </c>
    </row>
    <row r="29" spans="1:15" x14ac:dyDescent="0.2">
      <c r="A29" s="9" t="s">
        <v>26</v>
      </c>
      <c r="B29" s="10">
        <v>0</v>
      </c>
      <c r="C29" s="10">
        <v>0</v>
      </c>
      <c r="D29" s="11">
        <v>0</v>
      </c>
      <c r="E29" s="10">
        <v>0</v>
      </c>
      <c r="F29" s="12">
        <v>0</v>
      </c>
      <c r="G29" s="14">
        <f t="shared" si="10"/>
        <v>0</v>
      </c>
      <c r="H29" s="11">
        <v>0</v>
      </c>
      <c r="I29" s="14">
        <v>0</v>
      </c>
      <c r="J29" s="14">
        <v>0</v>
      </c>
      <c r="K29" s="14">
        <f t="shared" si="8"/>
        <v>0</v>
      </c>
      <c r="L29" s="15">
        <f t="shared" si="9"/>
        <v>0</v>
      </c>
      <c r="M29" s="65">
        <f t="shared" si="6"/>
        <v>0</v>
      </c>
    </row>
    <row r="30" spans="1:15" x14ac:dyDescent="0.2">
      <c r="A30" s="9" t="s">
        <v>27</v>
      </c>
      <c r="B30" s="10">
        <v>0</v>
      </c>
      <c r="C30" s="10">
        <v>0</v>
      </c>
      <c r="D30" s="11">
        <v>0</v>
      </c>
      <c r="E30" s="10">
        <v>0</v>
      </c>
      <c r="F30" s="12">
        <v>0</v>
      </c>
      <c r="G30" s="14">
        <f t="shared" si="10"/>
        <v>0</v>
      </c>
      <c r="H30" s="11">
        <v>0</v>
      </c>
      <c r="I30" s="14">
        <v>0</v>
      </c>
      <c r="J30" s="14">
        <v>0</v>
      </c>
      <c r="K30" s="14">
        <f t="shared" si="8"/>
        <v>0</v>
      </c>
      <c r="L30" s="15">
        <f t="shared" si="9"/>
        <v>0</v>
      </c>
      <c r="M30" s="65">
        <f t="shared" si="6"/>
        <v>0</v>
      </c>
    </row>
    <row r="31" spans="1:15" x14ac:dyDescent="0.2">
      <c r="A31" s="9" t="s">
        <v>27</v>
      </c>
      <c r="B31" s="10">
        <v>573447.68000000005</v>
      </c>
      <c r="C31" s="10">
        <v>573447.68999999994</v>
      </c>
      <c r="D31" s="11">
        <v>0</v>
      </c>
      <c r="E31" s="10">
        <v>569680.31999999995</v>
      </c>
      <c r="F31" s="12">
        <f t="shared" si="7"/>
        <v>0.99343031619850108</v>
      </c>
      <c r="G31" s="10">
        <f t="shared" si="10"/>
        <v>3767.3699999999953</v>
      </c>
      <c r="H31" s="13">
        <v>3767.37</v>
      </c>
      <c r="I31" s="14">
        <v>0</v>
      </c>
      <c r="J31" s="14">
        <v>0</v>
      </c>
      <c r="K31" s="14">
        <f t="shared" si="8"/>
        <v>3767.37</v>
      </c>
      <c r="L31" s="15">
        <f t="shared" si="9"/>
        <v>0.99343031619850108</v>
      </c>
      <c r="M31" s="65">
        <f t="shared" si="6"/>
        <v>4.5474735088646412E-12</v>
      </c>
    </row>
    <row r="32" spans="1:15" x14ac:dyDescent="0.2">
      <c r="A32" s="9" t="s">
        <v>28</v>
      </c>
      <c r="B32" s="10">
        <v>36484.65</v>
      </c>
      <c r="C32" s="10">
        <v>36484.65</v>
      </c>
      <c r="D32" s="11">
        <v>0</v>
      </c>
      <c r="E32" s="10">
        <v>0</v>
      </c>
      <c r="F32" s="12">
        <f t="shared" si="7"/>
        <v>0</v>
      </c>
      <c r="G32" s="10">
        <f t="shared" si="10"/>
        <v>36484.65</v>
      </c>
      <c r="H32" s="13">
        <v>36484.65</v>
      </c>
      <c r="I32" s="14">
        <v>0</v>
      </c>
      <c r="J32" s="14">
        <v>0</v>
      </c>
      <c r="K32" s="14">
        <f t="shared" si="8"/>
        <v>36484.65</v>
      </c>
      <c r="L32" s="15">
        <f t="shared" si="9"/>
        <v>0</v>
      </c>
      <c r="M32" s="65">
        <f t="shared" si="6"/>
        <v>0</v>
      </c>
    </row>
    <row r="33" spans="1:15" x14ac:dyDescent="0.2">
      <c r="A33" s="9" t="s">
        <v>29</v>
      </c>
      <c r="B33" s="10">
        <v>25802087</v>
      </c>
      <c r="C33" s="10">
        <v>25802087</v>
      </c>
      <c r="D33" s="45">
        <f>1948.34+11855.21+17411.8+24901.03+30826.95+1275.36+39471.97+28017.47</f>
        <v>155708.13</v>
      </c>
      <c r="E33" s="10">
        <v>21535015.98</v>
      </c>
      <c r="F33" s="12">
        <f t="shared" si="7"/>
        <v>0.83462302797444254</v>
      </c>
      <c r="G33" s="10">
        <f t="shared" si="10"/>
        <v>4422779.1499999985</v>
      </c>
      <c r="H33" s="13">
        <f>4256662.33+280000</f>
        <v>4536662.33</v>
      </c>
      <c r="I33" s="14">
        <f>152805.87-30099.8</f>
        <v>122706.06999999999</v>
      </c>
      <c r="J33" s="14">
        <f>20016.25+101234.5+88489.25+27754.43-905.18</f>
        <v>236589.25</v>
      </c>
      <c r="K33" s="14">
        <f>H33+I33-J33</f>
        <v>4422779.1500000004</v>
      </c>
      <c r="L33" s="15">
        <f t="shared" si="9"/>
        <v>0.83462302797444254</v>
      </c>
      <c r="M33" s="65">
        <f t="shared" si="6"/>
        <v>0</v>
      </c>
      <c r="N33" s="18"/>
      <c r="O33" s="18"/>
    </row>
    <row r="34" spans="1:15" x14ac:dyDescent="0.2">
      <c r="A34" s="9" t="s">
        <v>30</v>
      </c>
      <c r="B34" s="10">
        <v>0</v>
      </c>
      <c r="C34" s="10">
        <f>1296554.55-1984</f>
        <v>1294570.55</v>
      </c>
      <c r="D34" s="10">
        <v>0</v>
      </c>
      <c r="E34" s="10">
        <v>1101765.3</v>
      </c>
      <c r="F34" s="12">
        <f t="shared" si="7"/>
        <v>0.85106624741309</v>
      </c>
      <c r="G34" s="10">
        <f>+C34+D34-E34</f>
        <v>192805.25</v>
      </c>
      <c r="H34" s="13">
        <v>484505.73</v>
      </c>
      <c r="I34" s="14">
        <v>0</v>
      </c>
      <c r="J34" s="14">
        <f>117121+174579.48</f>
        <v>291700.47999999998</v>
      </c>
      <c r="K34" s="14">
        <f>H34+I34-J34</f>
        <v>192805.25</v>
      </c>
      <c r="L34" s="15">
        <f t="shared" si="9"/>
        <v>0.85106624741309</v>
      </c>
      <c r="M34" s="65">
        <f>+K34-G34</f>
        <v>0</v>
      </c>
      <c r="N34" s="19"/>
      <c r="O34" s="18"/>
    </row>
    <row r="35" spans="1:15" x14ac:dyDescent="0.2">
      <c r="A35" s="9" t="s">
        <v>31</v>
      </c>
      <c r="B35" s="10">
        <v>700000</v>
      </c>
      <c r="C35" s="10">
        <v>700000</v>
      </c>
      <c r="D35" s="11">
        <v>0</v>
      </c>
      <c r="E35" s="10">
        <v>700000</v>
      </c>
      <c r="F35" s="12">
        <f t="shared" si="7"/>
        <v>1</v>
      </c>
      <c r="G35" s="11">
        <v>0</v>
      </c>
      <c r="H35" s="13">
        <v>9956.9</v>
      </c>
      <c r="I35" s="14">
        <v>0</v>
      </c>
      <c r="J35" s="14">
        <f>6034.48+3017.24+905.18</f>
        <v>9956.9</v>
      </c>
      <c r="K35" s="14">
        <f t="shared" si="8"/>
        <v>0</v>
      </c>
      <c r="L35" s="15">
        <f t="shared" si="9"/>
        <v>1</v>
      </c>
      <c r="M35" s="65">
        <f t="shared" ref="M35:M98" si="11">+K35-G35</f>
        <v>0</v>
      </c>
    </row>
    <row r="36" spans="1:15" x14ac:dyDescent="0.2">
      <c r="A36" s="9">
        <v>3001</v>
      </c>
      <c r="B36" s="11">
        <v>0</v>
      </c>
      <c r="C36" s="11">
        <v>0</v>
      </c>
      <c r="D36" s="11">
        <v>0</v>
      </c>
      <c r="E36" s="10">
        <v>0</v>
      </c>
      <c r="F36" s="12">
        <v>0</v>
      </c>
      <c r="G36" s="11">
        <v>0</v>
      </c>
      <c r="H36" s="11">
        <v>0</v>
      </c>
      <c r="I36" s="14">
        <v>0</v>
      </c>
      <c r="J36" s="14">
        <v>0</v>
      </c>
      <c r="K36" s="14">
        <f t="shared" si="8"/>
        <v>0</v>
      </c>
      <c r="L36" s="15">
        <f t="shared" si="9"/>
        <v>0</v>
      </c>
      <c r="M36" s="65">
        <f t="shared" si="11"/>
        <v>0</v>
      </c>
    </row>
    <row r="37" spans="1:15" x14ac:dyDescent="0.2">
      <c r="A37" s="9">
        <v>3002</v>
      </c>
      <c r="B37" s="11">
        <v>0</v>
      </c>
      <c r="C37" s="11">
        <v>0</v>
      </c>
      <c r="D37" s="11">
        <v>0</v>
      </c>
      <c r="E37" s="10">
        <v>0</v>
      </c>
      <c r="F37" s="12">
        <v>0</v>
      </c>
      <c r="G37" s="11">
        <v>0</v>
      </c>
      <c r="H37" s="11">
        <v>0</v>
      </c>
      <c r="I37" s="14">
        <v>0</v>
      </c>
      <c r="J37" s="14">
        <v>0</v>
      </c>
      <c r="K37" s="14">
        <f t="shared" si="8"/>
        <v>0</v>
      </c>
      <c r="L37" s="15">
        <f t="shared" si="9"/>
        <v>0</v>
      </c>
      <c r="M37" s="65">
        <f t="shared" si="11"/>
        <v>0</v>
      </c>
    </row>
    <row r="38" spans="1:15" x14ac:dyDescent="0.2">
      <c r="A38" s="9" t="s">
        <v>32</v>
      </c>
      <c r="B38" s="10">
        <v>1483500</v>
      </c>
      <c r="C38" s="10">
        <v>1483500</v>
      </c>
      <c r="D38" s="11">
        <v>0</v>
      </c>
      <c r="E38" s="10">
        <v>1483500</v>
      </c>
      <c r="F38" s="12">
        <f>+E38/C38</f>
        <v>1</v>
      </c>
      <c r="G38" s="11">
        <v>0</v>
      </c>
      <c r="H38" s="13">
        <v>21101.51</v>
      </c>
      <c r="I38" s="14">
        <v>0</v>
      </c>
      <c r="J38" s="14">
        <f>12788.79+6394.4+1918.32</f>
        <v>21101.510000000002</v>
      </c>
      <c r="K38" s="14">
        <f t="shared" si="8"/>
        <v>0</v>
      </c>
      <c r="L38" s="15">
        <f t="shared" si="9"/>
        <v>1</v>
      </c>
      <c r="M38" s="65">
        <f t="shared" si="11"/>
        <v>0</v>
      </c>
    </row>
    <row r="39" spans="1:15" s="5" customFormat="1" x14ac:dyDescent="0.2">
      <c r="A39" s="20" t="s">
        <v>33</v>
      </c>
      <c r="B39" s="21">
        <f>SUM(B22:B38)</f>
        <v>69366749.510000005</v>
      </c>
      <c r="C39" s="21">
        <f>SUM(C22:C38)</f>
        <v>71085168.25</v>
      </c>
      <c r="D39" s="21">
        <f>SUM(D22:D38)</f>
        <v>156397.53</v>
      </c>
      <c r="E39" s="21">
        <f>SUM(E22:E38)</f>
        <v>63006636.109999999</v>
      </c>
      <c r="F39" s="22">
        <f>+E39/C39</f>
        <v>0.88635418134499522</v>
      </c>
      <c r="G39" s="21">
        <f>SUM(G22:G38)</f>
        <v>8234929.6699999981</v>
      </c>
      <c r="H39" s="21">
        <f>SUM(H22:H38)</f>
        <v>9793401.3300000019</v>
      </c>
      <c r="I39" s="21">
        <f>SUM(I22:I38)</f>
        <v>318098.75</v>
      </c>
      <c r="J39" s="21">
        <f>SUM(J22:J38)</f>
        <v>1876574.41</v>
      </c>
      <c r="K39" s="21">
        <f>SUM(K22:K38)</f>
        <v>8234925.6699999999</v>
      </c>
      <c r="L39" s="23"/>
      <c r="M39" s="65">
        <f t="shared" si="11"/>
        <v>-3.9999999981373549</v>
      </c>
    </row>
    <row r="40" spans="1:15" x14ac:dyDescent="0.2">
      <c r="A40" s="9" t="s">
        <v>18</v>
      </c>
      <c r="B40" s="10">
        <v>0</v>
      </c>
      <c r="C40" s="10">
        <v>0</v>
      </c>
      <c r="D40" s="13"/>
      <c r="E40" s="10">
        <v>0</v>
      </c>
      <c r="F40" s="12">
        <v>0</v>
      </c>
      <c r="G40" s="10">
        <v>4283.6000000000004</v>
      </c>
      <c r="H40" s="10">
        <v>32268.68</v>
      </c>
      <c r="I40" s="10">
        <v>0</v>
      </c>
      <c r="J40" s="10">
        <v>27985.08</v>
      </c>
      <c r="K40" s="10">
        <f t="shared" si="8"/>
        <v>4283.5999999999985</v>
      </c>
      <c r="L40" s="15"/>
      <c r="M40" s="65">
        <f t="shared" si="11"/>
        <v>0</v>
      </c>
    </row>
    <row r="41" spans="1:15" x14ac:dyDescent="0.2">
      <c r="A41" s="9" t="s">
        <v>20</v>
      </c>
      <c r="B41" s="10">
        <v>0</v>
      </c>
      <c r="C41" s="10">
        <v>0</v>
      </c>
      <c r="D41" s="13"/>
      <c r="E41" s="10">
        <v>0</v>
      </c>
      <c r="F41" s="12">
        <v>0</v>
      </c>
      <c r="G41" s="10">
        <v>45477.47</v>
      </c>
      <c r="H41" s="10">
        <v>45477.47</v>
      </c>
      <c r="I41" s="10">
        <v>0</v>
      </c>
      <c r="J41" s="10">
        <v>0</v>
      </c>
      <c r="K41" s="10">
        <f t="shared" si="8"/>
        <v>45477.47</v>
      </c>
      <c r="L41" s="15"/>
      <c r="M41" s="65">
        <f t="shared" si="11"/>
        <v>0</v>
      </c>
    </row>
    <row r="42" spans="1:15" x14ac:dyDescent="0.2">
      <c r="A42" s="9" t="s">
        <v>25</v>
      </c>
      <c r="B42" s="10">
        <v>0</v>
      </c>
      <c r="C42" s="10">
        <v>0</v>
      </c>
      <c r="D42" s="13"/>
      <c r="E42" s="10">
        <v>0</v>
      </c>
      <c r="F42" s="12">
        <v>0</v>
      </c>
      <c r="G42" s="10">
        <v>45082.35</v>
      </c>
      <c r="H42" s="10">
        <v>45082.35</v>
      </c>
      <c r="I42" s="10">
        <v>0</v>
      </c>
      <c r="J42" s="10">
        <v>0</v>
      </c>
      <c r="K42" s="10">
        <f t="shared" si="8"/>
        <v>45082.35</v>
      </c>
      <c r="L42" s="15"/>
      <c r="M42" s="65">
        <f t="shared" si="11"/>
        <v>0</v>
      </c>
    </row>
    <row r="43" spans="1:15" x14ac:dyDescent="0.2">
      <c r="A43" s="9" t="s">
        <v>26</v>
      </c>
      <c r="B43" s="10">
        <v>0</v>
      </c>
      <c r="C43" s="10">
        <v>0</v>
      </c>
      <c r="D43" s="13"/>
      <c r="E43" s="10">
        <v>0</v>
      </c>
      <c r="F43" s="12">
        <v>0</v>
      </c>
      <c r="G43" s="10">
        <v>220218.16</v>
      </c>
      <c r="H43" s="10">
        <v>20218.16</v>
      </c>
      <c r="I43" s="10">
        <v>200000</v>
      </c>
      <c r="J43" s="10">
        <v>0</v>
      </c>
      <c r="K43" s="10">
        <f t="shared" si="8"/>
        <v>220218.16</v>
      </c>
      <c r="L43" s="15"/>
      <c r="M43" s="65">
        <f t="shared" si="11"/>
        <v>0</v>
      </c>
    </row>
    <row r="44" spans="1:15" x14ac:dyDescent="0.2">
      <c r="A44" s="9" t="s">
        <v>29</v>
      </c>
      <c r="B44" s="10">
        <v>0</v>
      </c>
      <c r="C44" s="10">
        <v>0</v>
      </c>
      <c r="D44" s="11">
        <v>0</v>
      </c>
      <c r="E44" s="10">
        <v>0</v>
      </c>
      <c r="F44" s="12">
        <v>0</v>
      </c>
      <c r="G44" s="10">
        <v>2494385.7599999998</v>
      </c>
      <c r="H44" s="10">
        <f>66.53+2511998.64</f>
        <v>2512065.17</v>
      </c>
      <c r="I44" s="10">
        <v>0</v>
      </c>
      <c r="J44" s="10">
        <v>17679.41</v>
      </c>
      <c r="K44" s="10">
        <f t="shared" si="8"/>
        <v>2494385.7599999998</v>
      </c>
      <c r="L44" s="15"/>
      <c r="M44" s="65">
        <f t="shared" si="11"/>
        <v>0</v>
      </c>
    </row>
    <row r="45" spans="1:15" ht="27" x14ac:dyDescent="0.2">
      <c r="A45" s="9" t="s">
        <v>34</v>
      </c>
      <c r="B45" s="10">
        <v>0</v>
      </c>
      <c r="C45" s="10">
        <v>154782.26</v>
      </c>
      <c r="D45" s="13">
        <v>0</v>
      </c>
      <c r="E45" s="10">
        <v>0</v>
      </c>
      <c r="F45" s="12">
        <v>0</v>
      </c>
      <c r="G45" s="10">
        <f>+C45+D45-E45</f>
        <v>154782.26</v>
      </c>
      <c r="H45" s="10">
        <v>237102.37</v>
      </c>
      <c r="I45" s="10">
        <v>0</v>
      </c>
      <c r="J45" s="10">
        <v>82320.11</v>
      </c>
      <c r="K45" s="10">
        <f t="shared" si="8"/>
        <v>154782.26</v>
      </c>
      <c r="L45" s="15"/>
      <c r="M45" s="65">
        <f t="shared" si="11"/>
        <v>0</v>
      </c>
    </row>
    <row r="46" spans="1:15" x14ac:dyDescent="0.2">
      <c r="A46" s="9"/>
      <c r="B46" s="10">
        <v>0</v>
      </c>
      <c r="C46" s="10">
        <v>0</v>
      </c>
      <c r="D46" s="10"/>
      <c r="E46" s="10">
        <v>0</v>
      </c>
      <c r="F46" s="12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8"/>
        <v>0</v>
      </c>
      <c r="L46" s="15"/>
      <c r="M46" s="65">
        <f t="shared" si="11"/>
        <v>0</v>
      </c>
    </row>
    <row r="47" spans="1:15" x14ac:dyDescent="0.2">
      <c r="A47" s="24" t="s">
        <v>35</v>
      </c>
      <c r="B47" s="25">
        <f>SUM(B40:B46)</f>
        <v>0</v>
      </c>
      <c r="C47" s="25">
        <f t="shared" ref="C47:K47" si="12">SUM(C40:C46)</f>
        <v>154782.26</v>
      </c>
      <c r="D47" s="25">
        <f t="shared" si="12"/>
        <v>0</v>
      </c>
      <c r="E47" s="25">
        <f t="shared" si="12"/>
        <v>0</v>
      </c>
      <c r="F47" s="25">
        <f t="shared" si="12"/>
        <v>0</v>
      </c>
      <c r="G47" s="25">
        <f t="shared" si="12"/>
        <v>2964229.5999999996</v>
      </c>
      <c r="H47" s="25">
        <f t="shared" si="12"/>
        <v>2892214.2</v>
      </c>
      <c r="I47" s="25">
        <f t="shared" si="12"/>
        <v>200000</v>
      </c>
      <c r="J47" s="25">
        <f t="shared" si="12"/>
        <v>127984.6</v>
      </c>
      <c r="K47" s="25">
        <f t="shared" si="12"/>
        <v>2964229.5999999996</v>
      </c>
      <c r="L47" s="27"/>
      <c r="M47" s="65">
        <f t="shared" si="11"/>
        <v>0</v>
      </c>
    </row>
    <row r="48" spans="1:15" x14ac:dyDescent="0.2">
      <c r="A48" s="9" t="s">
        <v>18</v>
      </c>
      <c r="B48" s="10">
        <v>0</v>
      </c>
      <c r="C48" s="10">
        <v>0</v>
      </c>
      <c r="D48" s="10"/>
      <c r="E48" s="10">
        <v>0</v>
      </c>
      <c r="F48" s="12">
        <v>0</v>
      </c>
      <c r="G48" s="10">
        <v>57064.89</v>
      </c>
      <c r="H48" s="10">
        <v>132233.86000000002</v>
      </c>
      <c r="I48" s="10">
        <v>185.03</v>
      </c>
      <c r="J48" s="10">
        <v>75354</v>
      </c>
      <c r="K48" s="10">
        <f t="shared" si="8"/>
        <v>57064.890000000014</v>
      </c>
      <c r="L48" s="15"/>
      <c r="M48" s="65">
        <f t="shared" si="11"/>
        <v>0</v>
      </c>
    </row>
    <row r="49" spans="1:13" x14ac:dyDescent="0.2">
      <c r="A49" s="9" t="s">
        <v>36</v>
      </c>
      <c r="B49" s="10">
        <v>0</v>
      </c>
      <c r="C49" s="10">
        <v>0</v>
      </c>
      <c r="D49" s="10"/>
      <c r="E49" s="10">
        <v>0</v>
      </c>
      <c r="F49" s="12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8"/>
        <v>0</v>
      </c>
      <c r="L49" s="15"/>
      <c r="M49" s="65">
        <f t="shared" si="11"/>
        <v>0</v>
      </c>
    </row>
    <row r="50" spans="1:13" x14ac:dyDescent="0.2">
      <c r="A50" s="9" t="s">
        <v>20</v>
      </c>
      <c r="B50" s="10">
        <v>0</v>
      </c>
      <c r="C50" s="10">
        <v>0</v>
      </c>
      <c r="D50" s="10"/>
      <c r="E50" s="10">
        <v>0</v>
      </c>
      <c r="F50" s="12">
        <v>0</v>
      </c>
      <c r="G50" s="10">
        <v>54914.5</v>
      </c>
      <c r="H50" s="10">
        <v>51501.9</v>
      </c>
      <c r="I50" s="10">
        <v>0</v>
      </c>
      <c r="J50" s="10">
        <v>-3412.6000000000931</v>
      </c>
      <c r="K50" s="10">
        <f t="shared" si="8"/>
        <v>54914.500000000095</v>
      </c>
      <c r="L50" s="15"/>
      <c r="M50" s="65">
        <f t="shared" si="11"/>
        <v>9.4587448984384537E-11</v>
      </c>
    </row>
    <row r="51" spans="1:13" x14ac:dyDescent="0.2">
      <c r="A51" s="9" t="s">
        <v>21</v>
      </c>
      <c r="B51" s="10">
        <v>0</v>
      </c>
      <c r="C51" s="10">
        <v>0</v>
      </c>
      <c r="D51" s="10"/>
      <c r="E51" s="10">
        <v>0</v>
      </c>
      <c r="F51" s="12">
        <v>0</v>
      </c>
      <c r="G51" s="10">
        <v>5979.07</v>
      </c>
      <c r="H51" s="10">
        <v>5979.07</v>
      </c>
      <c r="I51" s="10">
        <v>0</v>
      </c>
      <c r="J51" s="10">
        <v>0</v>
      </c>
      <c r="K51" s="10">
        <f t="shared" si="8"/>
        <v>5979.07</v>
      </c>
      <c r="L51" s="15"/>
      <c r="M51" s="65">
        <f t="shared" si="11"/>
        <v>0</v>
      </c>
    </row>
    <row r="52" spans="1:13" x14ac:dyDescent="0.2">
      <c r="A52" s="9" t="s">
        <v>22</v>
      </c>
      <c r="B52" s="10">
        <v>0</v>
      </c>
      <c r="C52" s="10">
        <v>0</v>
      </c>
      <c r="D52" s="10"/>
      <c r="E52" s="10">
        <v>0</v>
      </c>
      <c r="F52" s="12">
        <v>0</v>
      </c>
      <c r="G52" s="10">
        <v>60932.3</v>
      </c>
      <c r="H52" s="10">
        <v>60932.3</v>
      </c>
      <c r="I52" s="10">
        <v>0</v>
      </c>
      <c r="J52" s="10">
        <v>0</v>
      </c>
      <c r="K52" s="10">
        <f t="shared" si="8"/>
        <v>60932.3</v>
      </c>
      <c r="L52" s="15"/>
      <c r="M52" s="65">
        <f t="shared" si="11"/>
        <v>0</v>
      </c>
    </row>
    <row r="53" spans="1:13" x14ac:dyDescent="0.2">
      <c r="A53" s="9" t="s">
        <v>24</v>
      </c>
      <c r="B53" s="10">
        <v>0</v>
      </c>
      <c r="C53" s="10">
        <v>0</v>
      </c>
      <c r="D53" s="10"/>
      <c r="E53" s="10">
        <v>0</v>
      </c>
      <c r="F53" s="12">
        <v>0</v>
      </c>
      <c r="G53" s="10">
        <v>17486.5</v>
      </c>
      <c r="H53" s="10">
        <v>17486.5</v>
      </c>
      <c r="I53" s="10">
        <v>0</v>
      </c>
      <c r="J53" s="10">
        <v>0</v>
      </c>
      <c r="K53" s="10">
        <f t="shared" si="8"/>
        <v>17486.5</v>
      </c>
      <c r="L53" s="15"/>
      <c r="M53" s="65">
        <f t="shared" si="11"/>
        <v>0</v>
      </c>
    </row>
    <row r="54" spans="1:13" x14ac:dyDescent="0.2">
      <c r="A54" s="9" t="s">
        <v>25</v>
      </c>
      <c r="B54" s="10">
        <v>0</v>
      </c>
      <c r="C54" s="10">
        <v>0</v>
      </c>
      <c r="D54" s="10"/>
      <c r="E54" s="10">
        <v>0</v>
      </c>
      <c r="F54" s="12">
        <v>0</v>
      </c>
      <c r="G54" s="10">
        <v>11051.67</v>
      </c>
      <c r="H54" s="10">
        <v>11051.67</v>
      </c>
      <c r="I54" s="10">
        <v>0</v>
      </c>
      <c r="J54" s="10">
        <v>0</v>
      </c>
      <c r="K54" s="10">
        <f t="shared" si="8"/>
        <v>11051.67</v>
      </c>
      <c r="L54" s="15"/>
      <c r="M54" s="65">
        <f t="shared" si="11"/>
        <v>0</v>
      </c>
    </row>
    <row r="55" spans="1:13" x14ac:dyDescent="0.2">
      <c r="A55" s="9" t="s">
        <v>29</v>
      </c>
      <c r="B55" s="10">
        <v>0</v>
      </c>
      <c r="C55" s="10">
        <v>0</v>
      </c>
      <c r="D55" s="10">
        <v>0</v>
      </c>
      <c r="E55" s="10">
        <v>0</v>
      </c>
      <c r="F55" s="12">
        <v>0</v>
      </c>
      <c r="G55" s="10">
        <v>148467.66</v>
      </c>
      <c r="H55" s="10">
        <v>158380.9</v>
      </c>
      <c r="I55" s="10"/>
      <c r="J55" s="10">
        <f>2876.27+7036.97</f>
        <v>9913.24</v>
      </c>
      <c r="K55" s="10">
        <f t="shared" si="8"/>
        <v>148467.66</v>
      </c>
      <c r="L55" s="15"/>
      <c r="M55" s="65">
        <f t="shared" si="11"/>
        <v>0</v>
      </c>
    </row>
    <row r="56" spans="1:13" x14ac:dyDescent="0.2">
      <c r="A56" s="9" t="s">
        <v>30</v>
      </c>
      <c r="B56" s="10">
        <v>0</v>
      </c>
      <c r="C56" s="10">
        <v>0</v>
      </c>
      <c r="D56" s="10"/>
      <c r="E56" s="10">
        <v>0</v>
      </c>
      <c r="F56" s="12">
        <v>0</v>
      </c>
      <c r="G56" s="10">
        <v>6199.68</v>
      </c>
      <c r="H56" s="10">
        <v>0</v>
      </c>
      <c r="I56" s="10">
        <v>6199.68</v>
      </c>
      <c r="J56" s="10">
        <v>0</v>
      </c>
      <c r="K56" s="10">
        <f t="shared" si="8"/>
        <v>6199.68</v>
      </c>
      <c r="L56" s="15"/>
      <c r="M56" s="65">
        <f t="shared" si="11"/>
        <v>0</v>
      </c>
    </row>
    <row r="57" spans="1:13" x14ac:dyDescent="0.2">
      <c r="A57" s="9">
        <v>3001</v>
      </c>
      <c r="B57" s="10">
        <v>0</v>
      </c>
      <c r="C57" s="10">
        <v>0</v>
      </c>
      <c r="D57" s="10"/>
      <c r="E57" s="10">
        <v>0</v>
      </c>
      <c r="F57" s="12">
        <v>0</v>
      </c>
      <c r="G57" s="10">
        <v>510.97</v>
      </c>
      <c r="H57" s="10">
        <v>696</v>
      </c>
      <c r="I57" s="10">
        <v>0</v>
      </c>
      <c r="J57" s="10">
        <v>185.03</v>
      </c>
      <c r="K57" s="10">
        <f t="shared" si="8"/>
        <v>510.97</v>
      </c>
      <c r="L57" s="15"/>
      <c r="M57" s="65">
        <f t="shared" si="11"/>
        <v>0</v>
      </c>
    </row>
    <row r="58" spans="1:13" x14ac:dyDescent="0.2">
      <c r="A58" s="9">
        <v>3002</v>
      </c>
      <c r="B58" s="10">
        <v>0</v>
      </c>
      <c r="C58" s="10">
        <v>0</v>
      </c>
      <c r="D58" s="10"/>
      <c r="E58" s="10">
        <v>0</v>
      </c>
      <c r="F58" s="12">
        <v>0</v>
      </c>
      <c r="G58" s="10">
        <v>64791.47</v>
      </c>
      <c r="H58" s="10">
        <v>64920.78</v>
      </c>
      <c r="I58" s="10">
        <v>0</v>
      </c>
      <c r="J58" s="10">
        <v>129.31</v>
      </c>
      <c r="K58" s="10">
        <f t="shared" si="8"/>
        <v>64791.47</v>
      </c>
      <c r="L58" s="15"/>
      <c r="M58" s="65">
        <f t="shared" si="11"/>
        <v>0</v>
      </c>
    </row>
    <row r="59" spans="1:13" x14ac:dyDescent="0.2">
      <c r="A59" s="9"/>
      <c r="B59" s="10">
        <v>0</v>
      </c>
      <c r="C59" s="10">
        <v>0</v>
      </c>
      <c r="D59" s="10"/>
      <c r="E59" s="10">
        <v>0</v>
      </c>
      <c r="F59" s="12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8"/>
        <v>0</v>
      </c>
      <c r="L59" s="15"/>
      <c r="M59" s="65">
        <f t="shared" si="11"/>
        <v>0</v>
      </c>
    </row>
    <row r="60" spans="1:13" x14ac:dyDescent="0.2">
      <c r="A60" s="24" t="s">
        <v>37</v>
      </c>
      <c r="B60" s="25">
        <f>SUM(B48:B59)</f>
        <v>0</v>
      </c>
      <c r="C60" s="25">
        <f t="shared" ref="C60:K60" si="13">SUM(C48:C59)</f>
        <v>0</v>
      </c>
      <c r="D60" s="25">
        <f t="shared" si="13"/>
        <v>0</v>
      </c>
      <c r="E60" s="25">
        <f t="shared" si="13"/>
        <v>0</v>
      </c>
      <c r="F60" s="25">
        <f t="shared" si="13"/>
        <v>0</v>
      </c>
      <c r="G60" s="25">
        <f t="shared" si="13"/>
        <v>427398.70999999996</v>
      </c>
      <c r="H60" s="25">
        <f t="shared" si="13"/>
        <v>503182.98</v>
      </c>
      <c r="I60" s="25">
        <f t="shared" si="13"/>
        <v>6384.71</v>
      </c>
      <c r="J60" s="25">
        <f t="shared" si="13"/>
        <v>82168.979999999909</v>
      </c>
      <c r="K60" s="25">
        <f t="shared" si="13"/>
        <v>427398.71000000008</v>
      </c>
      <c r="L60" s="27"/>
      <c r="M60" s="65">
        <f>+K60-G60</f>
        <v>0</v>
      </c>
    </row>
    <row r="61" spans="1:13" x14ac:dyDescent="0.2">
      <c r="A61" s="9" t="s">
        <v>18</v>
      </c>
      <c r="B61" s="10">
        <v>0</v>
      </c>
      <c r="C61" s="10">
        <v>0</v>
      </c>
      <c r="D61" s="10"/>
      <c r="E61" s="10">
        <v>0</v>
      </c>
      <c r="F61" s="12">
        <v>0</v>
      </c>
      <c r="G61" s="10">
        <v>38436.01</v>
      </c>
      <c r="H61" s="10">
        <v>62509.189999999988</v>
      </c>
      <c r="I61" s="10">
        <v>236626.82</v>
      </c>
      <c r="J61" s="10">
        <v>260700</v>
      </c>
      <c r="K61" s="10">
        <f t="shared" si="8"/>
        <v>38436.010000000009</v>
      </c>
      <c r="L61" s="15"/>
      <c r="M61" s="65">
        <f t="shared" si="11"/>
        <v>0</v>
      </c>
    </row>
    <row r="62" spans="1:13" x14ac:dyDescent="0.2">
      <c r="A62" s="9" t="s">
        <v>20</v>
      </c>
      <c r="B62" s="10">
        <v>0</v>
      </c>
      <c r="C62" s="10">
        <v>0</v>
      </c>
      <c r="D62" s="10"/>
      <c r="E62" s="10">
        <v>0</v>
      </c>
      <c r="F62" s="12">
        <v>0</v>
      </c>
      <c r="G62" s="10">
        <v>137672.87</v>
      </c>
      <c r="H62" s="10">
        <v>19069.32</v>
      </c>
      <c r="I62" s="10">
        <v>1797063.97</v>
      </c>
      <c r="J62" s="10">
        <v>1678460.42</v>
      </c>
      <c r="K62" s="10">
        <f t="shared" si="8"/>
        <v>137672.87000000011</v>
      </c>
      <c r="L62" s="15"/>
      <c r="M62" s="65">
        <f t="shared" si="11"/>
        <v>0</v>
      </c>
    </row>
    <row r="63" spans="1:13" x14ac:dyDescent="0.2">
      <c r="A63" s="9" t="s">
        <v>24</v>
      </c>
      <c r="B63" s="10">
        <v>0</v>
      </c>
      <c r="C63" s="10">
        <v>17884.25</v>
      </c>
      <c r="D63" s="10">
        <f>7.16+6.59</f>
        <v>13.75</v>
      </c>
      <c r="E63" s="10">
        <v>696</v>
      </c>
      <c r="F63" s="12">
        <v>0</v>
      </c>
      <c r="G63" s="10">
        <f>+C63+D63-E63</f>
        <v>17202</v>
      </c>
      <c r="H63" s="10">
        <v>17202</v>
      </c>
      <c r="I63" s="10">
        <v>0</v>
      </c>
      <c r="J63" s="10">
        <v>0</v>
      </c>
      <c r="K63" s="10">
        <f t="shared" si="8"/>
        <v>17202</v>
      </c>
      <c r="L63" s="15"/>
      <c r="M63" s="62">
        <f t="shared" si="11"/>
        <v>0</v>
      </c>
    </row>
    <row r="64" spans="1:13" x14ac:dyDescent="0.2">
      <c r="A64" s="9" t="s">
        <v>25</v>
      </c>
      <c r="B64" s="10">
        <v>0</v>
      </c>
      <c r="C64" s="10">
        <v>0</v>
      </c>
      <c r="D64" s="10"/>
      <c r="E64" s="10">
        <v>0</v>
      </c>
      <c r="F64" s="12">
        <v>0</v>
      </c>
      <c r="G64" s="10">
        <v>18649.8</v>
      </c>
      <c r="H64" s="10">
        <v>40388.06</v>
      </c>
      <c r="I64" s="10">
        <v>100000</v>
      </c>
      <c r="J64" s="10">
        <v>121738.26</v>
      </c>
      <c r="K64" s="10">
        <f t="shared" si="8"/>
        <v>18649.800000000003</v>
      </c>
      <c r="L64" s="15"/>
      <c r="M64" s="65">
        <f t="shared" si="11"/>
        <v>0</v>
      </c>
    </row>
    <row r="65" spans="1:13" x14ac:dyDescent="0.2">
      <c r="A65" s="9" t="s">
        <v>29</v>
      </c>
      <c r="B65" s="10">
        <v>0</v>
      </c>
      <c r="C65" s="10">
        <v>0</v>
      </c>
      <c r="D65" s="10"/>
      <c r="E65" s="10">
        <v>0</v>
      </c>
      <c r="F65" s="12">
        <v>0</v>
      </c>
      <c r="G65" s="10">
        <v>337850.79</v>
      </c>
      <c r="H65" s="10">
        <v>419631.03</v>
      </c>
      <c r="I65" s="10">
        <v>-7.49</v>
      </c>
      <c r="J65" s="10">
        <v>81772.75</v>
      </c>
      <c r="K65" s="10">
        <f t="shared" si="8"/>
        <v>337850.79000000004</v>
      </c>
      <c r="L65" s="15"/>
      <c r="M65" s="65">
        <f t="shared" si="11"/>
        <v>0</v>
      </c>
    </row>
    <row r="66" spans="1:13" x14ac:dyDescent="0.2">
      <c r="A66" s="9" t="s">
        <v>30</v>
      </c>
      <c r="B66" s="10">
        <v>0</v>
      </c>
      <c r="C66" s="10">
        <v>0</v>
      </c>
      <c r="D66" s="10"/>
      <c r="E66" s="10">
        <v>0</v>
      </c>
      <c r="F66" s="12">
        <v>0</v>
      </c>
      <c r="G66" s="10">
        <v>0</v>
      </c>
      <c r="H66" s="10">
        <v>538779.80000000005</v>
      </c>
      <c r="I66" s="10">
        <v>0</v>
      </c>
      <c r="J66" s="10">
        <v>538779.80000000005</v>
      </c>
      <c r="K66" s="10">
        <f t="shared" si="8"/>
        <v>0</v>
      </c>
      <c r="L66" s="15"/>
      <c r="M66" s="65">
        <f t="shared" si="11"/>
        <v>0</v>
      </c>
    </row>
    <row r="67" spans="1:13" x14ac:dyDescent="0.2">
      <c r="A67" s="9">
        <v>3001</v>
      </c>
      <c r="B67" s="10">
        <v>0</v>
      </c>
      <c r="C67" s="10">
        <v>0</v>
      </c>
      <c r="D67" s="10"/>
      <c r="E67" s="10">
        <v>0</v>
      </c>
      <c r="F67" s="12">
        <v>0</v>
      </c>
      <c r="G67" s="10">
        <v>314.99</v>
      </c>
      <c r="H67" s="10">
        <v>315</v>
      </c>
      <c r="I67" s="10">
        <v>0</v>
      </c>
      <c r="J67" s="10">
        <v>0.01</v>
      </c>
      <c r="K67" s="10">
        <f t="shared" si="8"/>
        <v>314.99</v>
      </c>
      <c r="L67" s="15"/>
      <c r="M67" s="65">
        <f t="shared" si="11"/>
        <v>0</v>
      </c>
    </row>
    <row r="68" spans="1:13" x14ac:dyDescent="0.2">
      <c r="A68" s="9">
        <v>3002</v>
      </c>
      <c r="B68" s="10">
        <v>0</v>
      </c>
      <c r="C68" s="10">
        <v>0</v>
      </c>
      <c r="D68" s="10"/>
      <c r="E68" s="10">
        <v>0</v>
      </c>
      <c r="F68" s="12">
        <v>0</v>
      </c>
      <c r="G68" s="10">
        <v>12858.9</v>
      </c>
      <c r="H68" s="10">
        <v>12858.91</v>
      </c>
      <c r="I68" s="10">
        <v>0</v>
      </c>
      <c r="J68" s="10">
        <v>0.01</v>
      </c>
      <c r="K68" s="10">
        <f t="shared" si="8"/>
        <v>12858.9</v>
      </c>
      <c r="L68" s="15"/>
      <c r="M68" s="65">
        <f t="shared" si="11"/>
        <v>0</v>
      </c>
    </row>
    <row r="69" spans="1:13" x14ac:dyDescent="0.2">
      <c r="A69" s="9"/>
      <c r="B69" s="10">
        <v>0</v>
      </c>
      <c r="C69" s="10">
        <v>0</v>
      </c>
      <c r="D69" s="10"/>
      <c r="E69" s="10">
        <v>0</v>
      </c>
      <c r="F69" s="12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8"/>
        <v>0</v>
      </c>
      <c r="L69" s="15"/>
      <c r="M69" s="65">
        <f t="shared" si="11"/>
        <v>0</v>
      </c>
    </row>
    <row r="70" spans="1:13" x14ac:dyDescent="0.2">
      <c r="A70" s="24" t="s">
        <v>38</v>
      </c>
      <c r="B70" s="25">
        <f>SUM(B61:B69)</f>
        <v>0</v>
      </c>
      <c r="C70" s="25">
        <f t="shared" ref="C70:K70" si="14">SUM(C61:C69)</f>
        <v>17884.25</v>
      </c>
      <c r="D70" s="25">
        <f t="shared" si="14"/>
        <v>13.75</v>
      </c>
      <c r="E70" s="25">
        <f t="shared" si="14"/>
        <v>696</v>
      </c>
      <c r="F70" s="25">
        <f t="shared" si="14"/>
        <v>0</v>
      </c>
      <c r="G70" s="25">
        <f t="shared" si="14"/>
        <v>562985.36</v>
      </c>
      <c r="H70" s="25">
        <f t="shared" si="14"/>
        <v>1110753.3099999998</v>
      </c>
      <c r="I70" s="25">
        <f t="shared" si="14"/>
        <v>2133683.2999999998</v>
      </c>
      <c r="J70" s="25">
        <f t="shared" si="14"/>
        <v>2681451.2499999991</v>
      </c>
      <c r="K70" s="25">
        <f t="shared" si="14"/>
        <v>562985.36000000022</v>
      </c>
      <c r="L70" s="27"/>
      <c r="M70" s="65">
        <f t="shared" si="11"/>
        <v>0</v>
      </c>
    </row>
    <row r="71" spans="1:13" x14ac:dyDescent="0.2">
      <c r="A71" s="9" t="s">
        <v>18</v>
      </c>
      <c r="B71" s="10">
        <v>0</v>
      </c>
      <c r="C71" s="10">
        <v>0</v>
      </c>
      <c r="D71" s="10"/>
      <c r="E71" s="10">
        <v>0</v>
      </c>
      <c r="F71" s="12">
        <v>0</v>
      </c>
      <c r="G71" s="10">
        <v>70435.27</v>
      </c>
      <c r="H71" s="10">
        <v>27196.65</v>
      </c>
      <c r="I71" s="10">
        <v>1260055.98</v>
      </c>
      <c r="J71" s="10">
        <v>1216817.3599999999</v>
      </c>
      <c r="K71" s="10">
        <f t="shared" si="8"/>
        <v>70435.270000000019</v>
      </c>
      <c r="L71" s="15"/>
      <c r="M71" s="65">
        <f t="shared" si="11"/>
        <v>0</v>
      </c>
    </row>
    <row r="72" spans="1:13" x14ac:dyDescent="0.2">
      <c r="A72" s="9" t="s">
        <v>36</v>
      </c>
      <c r="B72" s="10">
        <v>0</v>
      </c>
      <c r="C72" s="10">
        <v>0</v>
      </c>
      <c r="D72" s="10"/>
      <c r="E72" s="10">
        <v>0</v>
      </c>
      <c r="F72" s="12">
        <v>0</v>
      </c>
      <c r="G72" s="10">
        <v>-10</v>
      </c>
      <c r="H72" s="10">
        <v>-10</v>
      </c>
      <c r="I72" s="10">
        <v>0</v>
      </c>
      <c r="J72" s="10">
        <v>0</v>
      </c>
      <c r="K72" s="10">
        <f t="shared" si="8"/>
        <v>-10</v>
      </c>
      <c r="L72" s="15"/>
      <c r="M72" s="65">
        <f t="shared" si="11"/>
        <v>0</v>
      </c>
    </row>
    <row r="73" spans="1:13" x14ac:dyDescent="0.2">
      <c r="A73" s="9" t="s">
        <v>20</v>
      </c>
      <c r="B73" s="10">
        <v>0</v>
      </c>
      <c r="C73" s="10">
        <v>0</v>
      </c>
      <c r="D73" s="10"/>
      <c r="E73" s="10">
        <v>0</v>
      </c>
      <c r="F73" s="12">
        <v>0</v>
      </c>
      <c r="G73" s="10">
        <v>10409.09</v>
      </c>
      <c r="H73" s="10">
        <v>8124.4500000000007</v>
      </c>
      <c r="I73" s="10">
        <v>1364164.99</v>
      </c>
      <c r="J73" s="10">
        <v>1361880.35</v>
      </c>
      <c r="K73" s="10">
        <f t="shared" si="8"/>
        <v>10409.089999999851</v>
      </c>
      <c r="L73" s="15"/>
      <c r="M73" s="65">
        <f t="shared" si="11"/>
        <v>-1.4915713109076023E-10</v>
      </c>
    </row>
    <row r="74" spans="1:13" x14ac:dyDescent="0.2">
      <c r="A74" s="9" t="s">
        <v>24</v>
      </c>
      <c r="B74" s="10">
        <v>0</v>
      </c>
      <c r="C74" s="10">
        <v>0</v>
      </c>
      <c r="D74" s="10"/>
      <c r="E74" s="10">
        <v>0</v>
      </c>
      <c r="F74" s="12">
        <v>0</v>
      </c>
      <c r="G74" s="10">
        <v>1150.8900000000001</v>
      </c>
      <c r="H74" s="10">
        <v>42631.81</v>
      </c>
      <c r="I74" s="10">
        <v>412765.08</v>
      </c>
      <c r="J74" s="10">
        <v>454246</v>
      </c>
      <c r="K74" s="10">
        <f t="shared" si="8"/>
        <v>1150.890000000014</v>
      </c>
      <c r="L74" s="15"/>
      <c r="M74" s="65">
        <f t="shared" si="11"/>
        <v>1.3869794202037156E-11</v>
      </c>
    </row>
    <row r="75" spans="1:13" x14ac:dyDescent="0.2">
      <c r="A75" s="9" t="s">
        <v>25</v>
      </c>
      <c r="B75" s="10">
        <v>0</v>
      </c>
      <c r="C75" s="10">
        <v>0</v>
      </c>
      <c r="D75" s="10"/>
      <c r="E75" s="10">
        <v>0</v>
      </c>
      <c r="F75" s="12">
        <v>0</v>
      </c>
      <c r="G75" s="10">
        <v>-1415.64</v>
      </c>
      <c r="H75" s="10">
        <v>719.87</v>
      </c>
      <c r="I75" s="10">
        <v>17662.490000000002</v>
      </c>
      <c r="J75" s="10">
        <v>19798</v>
      </c>
      <c r="K75" s="10">
        <f t="shared" si="8"/>
        <v>-1415.6399999999994</v>
      </c>
      <c r="L75" s="15"/>
      <c r="M75" s="65">
        <f t="shared" si="11"/>
        <v>0</v>
      </c>
    </row>
    <row r="76" spans="1:13" x14ac:dyDescent="0.2">
      <c r="A76" s="9" t="s">
        <v>27</v>
      </c>
      <c r="B76" s="10">
        <v>0</v>
      </c>
      <c r="C76" s="10">
        <v>0</v>
      </c>
      <c r="D76" s="10"/>
      <c r="E76" s="10">
        <v>0</v>
      </c>
      <c r="F76" s="12">
        <v>0</v>
      </c>
      <c r="G76" s="10">
        <v>267528.84000000003</v>
      </c>
      <c r="H76" s="10">
        <v>0</v>
      </c>
      <c r="I76" s="10">
        <v>267528.84000000003</v>
      </c>
      <c r="J76" s="10">
        <v>0</v>
      </c>
      <c r="K76" s="10">
        <f t="shared" si="8"/>
        <v>267528.84000000003</v>
      </c>
      <c r="L76" s="15"/>
      <c r="M76" s="65">
        <f t="shared" si="11"/>
        <v>0</v>
      </c>
    </row>
    <row r="77" spans="1:13" x14ac:dyDescent="0.2">
      <c r="A77" s="9" t="s">
        <v>29</v>
      </c>
      <c r="B77" s="10">
        <v>0</v>
      </c>
      <c r="C77" s="10">
        <v>0</v>
      </c>
      <c r="D77" s="10"/>
      <c r="E77" s="10">
        <v>0</v>
      </c>
      <c r="F77" s="12">
        <v>0</v>
      </c>
      <c r="G77" s="10">
        <v>238880.59</v>
      </c>
      <c r="H77" s="10">
        <v>286118.3</v>
      </c>
      <c r="I77" s="10">
        <v>98358.74</v>
      </c>
      <c r="J77" s="10">
        <v>145596.44999999998</v>
      </c>
      <c r="K77" s="10">
        <f t="shared" si="8"/>
        <v>238880.59</v>
      </c>
      <c r="L77" s="15"/>
      <c r="M77" s="65">
        <f t="shared" si="11"/>
        <v>0</v>
      </c>
    </row>
    <row r="78" spans="1:13" x14ac:dyDescent="0.2">
      <c r="A78" s="9" t="s">
        <v>30</v>
      </c>
      <c r="B78" s="10">
        <v>0</v>
      </c>
      <c r="C78" s="10">
        <v>0</v>
      </c>
      <c r="D78" s="10"/>
      <c r="E78" s="10">
        <v>0</v>
      </c>
      <c r="F78" s="12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8"/>
        <v>0</v>
      </c>
      <c r="L78" s="15"/>
      <c r="M78" s="65">
        <f t="shared" si="11"/>
        <v>0</v>
      </c>
    </row>
    <row r="79" spans="1:13" x14ac:dyDescent="0.2">
      <c r="A79" s="9"/>
      <c r="B79" s="10">
        <v>0</v>
      </c>
      <c r="C79" s="10">
        <v>0</v>
      </c>
      <c r="D79" s="10"/>
      <c r="E79" s="10">
        <v>0</v>
      </c>
      <c r="F79" s="12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8"/>
        <v>0</v>
      </c>
      <c r="L79" s="15"/>
      <c r="M79" s="65">
        <f t="shared" si="11"/>
        <v>0</v>
      </c>
    </row>
    <row r="80" spans="1:13" x14ac:dyDescent="0.2">
      <c r="A80" s="24" t="s">
        <v>39</v>
      </c>
      <c r="B80" s="25">
        <f>SUM(B71:B79)</f>
        <v>0</v>
      </c>
      <c r="C80" s="25">
        <f t="shared" ref="C80:K80" si="15">SUM(C71:C79)</f>
        <v>0</v>
      </c>
      <c r="D80" s="25">
        <f t="shared" si="15"/>
        <v>0</v>
      </c>
      <c r="E80" s="25">
        <f t="shared" si="15"/>
        <v>0</v>
      </c>
      <c r="F80" s="25">
        <f t="shared" si="15"/>
        <v>0</v>
      </c>
      <c r="G80" s="25">
        <f t="shared" si="15"/>
        <v>586979.04</v>
      </c>
      <c r="H80" s="25">
        <f t="shared" si="15"/>
        <v>364781.07999999996</v>
      </c>
      <c r="I80" s="25">
        <f t="shared" si="15"/>
        <v>3420536.12</v>
      </c>
      <c r="J80" s="25">
        <f t="shared" si="15"/>
        <v>3198338.16</v>
      </c>
      <c r="K80" s="25">
        <f t="shared" si="15"/>
        <v>586979.03999999992</v>
      </c>
      <c r="L80" s="27"/>
      <c r="M80" s="65">
        <f t="shared" si="11"/>
        <v>0</v>
      </c>
    </row>
    <row r="81" spans="1:13" x14ac:dyDescent="0.2">
      <c r="A81" s="9" t="s">
        <v>18</v>
      </c>
      <c r="B81" s="10">
        <v>0</v>
      </c>
      <c r="C81" s="10">
        <v>0</v>
      </c>
      <c r="D81" s="10"/>
      <c r="E81" s="10">
        <v>0</v>
      </c>
      <c r="F81" s="12">
        <v>0</v>
      </c>
      <c r="G81" s="10">
        <v>1852.17</v>
      </c>
      <c r="H81" s="10">
        <v>21852.97</v>
      </c>
      <c r="I81" s="10">
        <v>0</v>
      </c>
      <c r="J81" s="10">
        <v>20000.8</v>
      </c>
      <c r="K81" s="10">
        <f t="shared" si="8"/>
        <v>1852.1700000000019</v>
      </c>
      <c r="L81" s="15"/>
      <c r="M81" s="65">
        <f t="shared" si="11"/>
        <v>1.8189894035458565E-12</v>
      </c>
    </row>
    <row r="82" spans="1:13" x14ac:dyDescent="0.2">
      <c r="A82" s="9" t="s">
        <v>24</v>
      </c>
      <c r="B82" s="10">
        <v>0</v>
      </c>
      <c r="C82" s="10">
        <v>0</v>
      </c>
      <c r="D82" s="10"/>
      <c r="E82" s="10">
        <v>0</v>
      </c>
      <c r="F82" s="12">
        <v>0</v>
      </c>
      <c r="G82" s="10">
        <v>43212.38</v>
      </c>
      <c r="H82" s="10">
        <v>43212.38</v>
      </c>
      <c r="I82" s="10">
        <v>0</v>
      </c>
      <c r="J82" s="10">
        <v>0</v>
      </c>
      <c r="K82" s="10">
        <f t="shared" si="8"/>
        <v>43212.38</v>
      </c>
      <c r="L82" s="15"/>
      <c r="M82" s="65">
        <f t="shared" si="11"/>
        <v>0</v>
      </c>
    </row>
    <row r="83" spans="1:13" x14ac:dyDescent="0.2">
      <c r="A83" s="9" t="s">
        <v>25</v>
      </c>
      <c r="B83" s="10">
        <v>0</v>
      </c>
      <c r="C83" s="10">
        <v>0</v>
      </c>
      <c r="D83" s="10"/>
      <c r="E83" s="10">
        <v>0</v>
      </c>
      <c r="F83" s="12">
        <v>0</v>
      </c>
      <c r="G83" s="10">
        <v>1625.34</v>
      </c>
      <c r="H83" s="10">
        <v>8443.23</v>
      </c>
      <c r="I83" s="10">
        <v>10845.58</v>
      </c>
      <c r="J83" s="10">
        <v>17663.47</v>
      </c>
      <c r="K83" s="10">
        <f t="shared" si="8"/>
        <v>1625.3399999999965</v>
      </c>
      <c r="L83" s="15"/>
      <c r="M83" s="65">
        <f t="shared" si="11"/>
        <v>-3.4106051316484809E-12</v>
      </c>
    </row>
    <row r="84" spans="1:13" x14ac:dyDescent="0.2">
      <c r="A84" s="9" t="s">
        <v>26</v>
      </c>
      <c r="B84" s="10">
        <v>0</v>
      </c>
      <c r="C84" s="10">
        <v>0</v>
      </c>
      <c r="D84" s="10"/>
      <c r="E84" s="10">
        <v>0</v>
      </c>
      <c r="F84" s="12">
        <v>0</v>
      </c>
      <c r="G84" s="10">
        <v>20682.669999999998</v>
      </c>
      <c r="H84" s="10">
        <v>0</v>
      </c>
      <c r="I84" s="10">
        <v>20682.669999999998</v>
      </c>
      <c r="J84" s="10">
        <v>0</v>
      </c>
      <c r="K84" s="10">
        <f t="shared" si="8"/>
        <v>20682.669999999998</v>
      </c>
      <c r="L84" s="15"/>
      <c r="M84" s="65">
        <f t="shared" si="11"/>
        <v>0</v>
      </c>
    </row>
    <row r="85" spans="1:13" x14ac:dyDescent="0.2">
      <c r="A85" s="9" t="s">
        <v>29</v>
      </c>
      <c r="B85" s="10">
        <v>0</v>
      </c>
      <c r="C85" s="10">
        <v>0</v>
      </c>
      <c r="D85" s="10"/>
      <c r="E85" s="10">
        <v>0</v>
      </c>
      <c r="F85" s="12">
        <v>0</v>
      </c>
      <c r="G85" s="10">
        <v>74081.95</v>
      </c>
      <c r="H85" s="10">
        <v>79147.360000000001</v>
      </c>
      <c r="I85" s="10">
        <v>0</v>
      </c>
      <c r="J85" s="10">
        <v>5065.41</v>
      </c>
      <c r="K85" s="10">
        <f t="shared" si="8"/>
        <v>74081.95</v>
      </c>
      <c r="L85" s="15"/>
      <c r="M85" s="65">
        <f t="shared" si="11"/>
        <v>0</v>
      </c>
    </row>
    <row r="86" spans="1:13" x14ac:dyDescent="0.2">
      <c r="A86" s="9" t="s">
        <v>30</v>
      </c>
      <c r="B86" s="10">
        <v>0</v>
      </c>
      <c r="C86" s="10">
        <v>0</v>
      </c>
      <c r="D86" s="10"/>
      <c r="E86" s="10">
        <v>0</v>
      </c>
      <c r="F86" s="12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8"/>
        <v>0</v>
      </c>
      <c r="L86" s="15"/>
      <c r="M86" s="65">
        <f t="shared" si="11"/>
        <v>0</v>
      </c>
    </row>
    <row r="87" spans="1:13" x14ac:dyDescent="0.2">
      <c r="A87" s="9"/>
      <c r="B87" s="10">
        <v>0</v>
      </c>
      <c r="C87" s="10">
        <v>0</v>
      </c>
      <c r="D87" s="10"/>
      <c r="E87" s="10">
        <v>0</v>
      </c>
      <c r="F87" s="12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ref="K87:K95" si="16">H87+I87-J87</f>
        <v>0</v>
      </c>
      <c r="L87" s="15"/>
      <c r="M87" s="65">
        <f t="shared" si="11"/>
        <v>0</v>
      </c>
    </row>
    <row r="88" spans="1:13" x14ac:dyDescent="0.2">
      <c r="A88" s="24" t="s">
        <v>40</v>
      </c>
      <c r="B88" s="25">
        <f>SUM(B81:B87)</f>
        <v>0</v>
      </c>
      <c r="C88" s="25">
        <f t="shared" ref="C88:K88" si="17">SUM(C81:C87)</f>
        <v>0</v>
      </c>
      <c r="D88" s="25">
        <f t="shared" si="17"/>
        <v>0</v>
      </c>
      <c r="E88" s="25">
        <f t="shared" si="17"/>
        <v>0</v>
      </c>
      <c r="F88" s="25">
        <f t="shared" si="17"/>
        <v>0</v>
      </c>
      <c r="G88" s="25">
        <f t="shared" si="17"/>
        <v>141454.51</v>
      </c>
      <c r="H88" s="25">
        <f t="shared" si="17"/>
        <v>152655.94</v>
      </c>
      <c r="I88" s="25">
        <f t="shared" si="17"/>
        <v>31528.25</v>
      </c>
      <c r="J88" s="25">
        <f t="shared" si="17"/>
        <v>42729.680000000008</v>
      </c>
      <c r="K88" s="25">
        <f t="shared" si="17"/>
        <v>141454.51</v>
      </c>
      <c r="L88" s="27"/>
      <c r="M88" s="65">
        <f t="shared" si="11"/>
        <v>0</v>
      </c>
    </row>
    <row r="89" spans="1:13" x14ac:dyDescent="0.2">
      <c r="A89" s="9" t="s">
        <v>36</v>
      </c>
      <c r="B89" s="10">
        <v>0</v>
      </c>
      <c r="C89" s="10">
        <v>0</v>
      </c>
      <c r="D89" s="10"/>
      <c r="E89" s="10">
        <v>0</v>
      </c>
      <c r="F89" s="12">
        <v>0</v>
      </c>
      <c r="G89" s="10">
        <v>12193</v>
      </c>
      <c r="H89" s="10">
        <v>13553.029999999999</v>
      </c>
      <c r="I89" s="10">
        <v>0</v>
      </c>
      <c r="J89" s="10">
        <v>1360.03</v>
      </c>
      <c r="K89" s="10">
        <f t="shared" si="16"/>
        <v>12192.999999999998</v>
      </c>
      <c r="L89" s="15"/>
      <c r="M89" s="65">
        <f t="shared" si="11"/>
        <v>0</v>
      </c>
    </row>
    <row r="90" spans="1:13" x14ac:dyDescent="0.2">
      <c r="A90" s="9" t="s">
        <v>29</v>
      </c>
      <c r="B90" s="10">
        <v>0</v>
      </c>
      <c r="C90" s="10">
        <v>0</v>
      </c>
      <c r="D90" s="10"/>
      <c r="E90" s="10">
        <v>0</v>
      </c>
      <c r="F90" s="12">
        <v>0</v>
      </c>
      <c r="G90" s="10">
        <v>7163.64</v>
      </c>
      <c r="H90" s="10">
        <v>6216.71</v>
      </c>
      <c r="I90" s="10">
        <v>4500</v>
      </c>
      <c r="J90" s="10">
        <v>3553.0699999999997</v>
      </c>
      <c r="K90" s="10">
        <f t="shared" si="16"/>
        <v>7163.6399999999994</v>
      </c>
      <c r="L90" s="15"/>
      <c r="M90" s="65">
        <f t="shared" si="11"/>
        <v>0</v>
      </c>
    </row>
    <row r="91" spans="1:13" x14ac:dyDescent="0.2">
      <c r="A91" s="9"/>
      <c r="B91" s="10">
        <v>0</v>
      </c>
      <c r="C91" s="10">
        <v>0</v>
      </c>
      <c r="D91" s="10"/>
      <c r="E91" s="10">
        <v>0</v>
      </c>
      <c r="F91" s="12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6"/>
        <v>0</v>
      </c>
      <c r="L91" s="15"/>
      <c r="M91" s="65">
        <f t="shared" si="11"/>
        <v>0</v>
      </c>
    </row>
    <row r="92" spans="1:13" x14ac:dyDescent="0.2">
      <c r="A92" s="24" t="s">
        <v>41</v>
      </c>
      <c r="B92" s="25">
        <f>+B89+B90+B91</f>
        <v>0</v>
      </c>
      <c r="C92" s="25">
        <f t="shared" ref="C92:K92" si="18">+C89+C90+C91</f>
        <v>0</v>
      </c>
      <c r="D92" s="25">
        <f t="shared" si="18"/>
        <v>0</v>
      </c>
      <c r="E92" s="25">
        <f t="shared" si="18"/>
        <v>0</v>
      </c>
      <c r="F92" s="25">
        <f t="shared" si="18"/>
        <v>0</v>
      </c>
      <c r="G92" s="25">
        <f t="shared" si="18"/>
        <v>19356.64</v>
      </c>
      <c r="H92" s="25">
        <f t="shared" si="18"/>
        <v>19769.739999999998</v>
      </c>
      <c r="I92" s="25">
        <f t="shared" si="18"/>
        <v>4500</v>
      </c>
      <c r="J92" s="25">
        <f t="shared" si="18"/>
        <v>4913.0999999999995</v>
      </c>
      <c r="K92" s="25">
        <f t="shared" si="18"/>
        <v>19356.64</v>
      </c>
      <c r="L92" s="27"/>
      <c r="M92" s="65">
        <f t="shared" si="11"/>
        <v>0</v>
      </c>
    </row>
    <row r="93" spans="1:13" x14ac:dyDescent="0.2">
      <c r="A93" s="9" t="s">
        <v>36</v>
      </c>
      <c r="B93" s="10">
        <v>0</v>
      </c>
      <c r="C93" s="10">
        <v>0</v>
      </c>
      <c r="D93" s="10"/>
      <c r="E93" s="10">
        <v>0</v>
      </c>
      <c r="F93" s="12">
        <v>0</v>
      </c>
      <c r="G93" s="10">
        <v>4081.54</v>
      </c>
      <c r="H93" s="10">
        <v>4081.54</v>
      </c>
      <c r="I93" s="10">
        <v>0</v>
      </c>
      <c r="J93" s="10">
        <v>0</v>
      </c>
      <c r="K93" s="10">
        <f t="shared" si="16"/>
        <v>4081.54</v>
      </c>
      <c r="L93" s="15"/>
      <c r="M93" s="65">
        <f t="shared" si="11"/>
        <v>0</v>
      </c>
    </row>
    <row r="94" spans="1:13" x14ac:dyDescent="0.2">
      <c r="A94" s="9" t="s">
        <v>29</v>
      </c>
      <c r="B94" s="10">
        <v>0</v>
      </c>
      <c r="C94" s="10">
        <v>0</v>
      </c>
      <c r="D94" s="10"/>
      <c r="E94" s="10">
        <v>0</v>
      </c>
      <c r="F94" s="12">
        <v>0</v>
      </c>
      <c r="G94" s="10">
        <v>28063.68</v>
      </c>
      <c r="H94" s="10">
        <v>2763.68</v>
      </c>
      <c r="I94" s="10">
        <v>25300</v>
      </c>
      <c r="J94" s="10">
        <v>0</v>
      </c>
      <c r="K94" s="10">
        <f t="shared" si="16"/>
        <v>28063.68</v>
      </c>
      <c r="L94" s="15"/>
      <c r="M94" s="65">
        <f t="shared" si="11"/>
        <v>0</v>
      </c>
    </row>
    <row r="95" spans="1:13" x14ac:dyDescent="0.2">
      <c r="A95" s="9"/>
      <c r="B95" s="10">
        <v>0</v>
      </c>
      <c r="C95" s="10">
        <v>0</v>
      </c>
      <c r="D95" s="10"/>
      <c r="E95" s="10">
        <v>0</v>
      </c>
      <c r="F95" s="12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6"/>
        <v>0</v>
      </c>
      <c r="L95" s="15"/>
      <c r="M95" s="65">
        <f t="shared" si="11"/>
        <v>0</v>
      </c>
    </row>
    <row r="96" spans="1:13" x14ac:dyDescent="0.2">
      <c r="A96" s="24" t="s">
        <v>42</v>
      </c>
      <c r="B96" s="25">
        <f>+B93+B94+B95</f>
        <v>0</v>
      </c>
      <c r="C96" s="25">
        <f t="shared" ref="C96:K96" si="19">+C93+C94+C95</f>
        <v>0</v>
      </c>
      <c r="D96" s="25">
        <f t="shared" si="19"/>
        <v>0</v>
      </c>
      <c r="E96" s="25">
        <f t="shared" si="19"/>
        <v>0</v>
      </c>
      <c r="F96" s="25">
        <f t="shared" si="19"/>
        <v>0</v>
      </c>
      <c r="G96" s="25">
        <f t="shared" si="19"/>
        <v>32145.22</v>
      </c>
      <c r="H96" s="25">
        <f t="shared" si="19"/>
        <v>6845.2199999999993</v>
      </c>
      <c r="I96" s="25">
        <f t="shared" si="19"/>
        <v>25300</v>
      </c>
      <c r="J96" s="25">
        <f t="shared" si="19"/>
        <v>0</v>
      </c>
      <c r="K96" s="25">
        <f t="shared" si="19"/>
        <v>32145.22</v>
      </c>
      <c r="L96" s="27"/>
      <c r="M96" s="65">
        <f t="shared" si="11"/>
        <v>0</v>
      </c>
    </row>
    <row r="97" spans="1:13" x14ac:dyDescent="0.2">
      <c r="A97" s="9"/>
      <c r="B97" s="10">
        <v>0</v>
      </c>
      <c r="C97" s="10">
        <v>0</v>
      </c>
      <c r="D97" s="10"/>
      <c r="E97" s="10">
        <v>0</v>
      </c>
      <c r="F97" s="12">
        <v>0</v>
      </c>
      <c r="G97" s="10">
        <v>0</v>
      </c>
      <c r="H97" s="10">
        <v>0</v>
      </c>
      <c r="I97" s="10">
        <v>0</v>
      </c>
      <c r="J97" s="10">
        <v>0</v>
      </c>
      <c r="K97" s="10">
        <f>H97+I97-J97</f>
        <v>0</v>
      </c>
      <c r="L97" s="15"/>
      <c r="M97" s="65">
        <f t="shared" si="11"/>
        <v>0</v>
      </c>
    </row>
    <row r="98" spans="1:13" ht="27" x14ac:dyDescent="0.2">
      <c r="A98" s="24" t="s">
        <v>43</v>
      </c>
      <c r="B98" s="25">
        <f t="shared" ref="B98:K98" si="20">+B96+B92+B88+B80+B70+B60+B47+B39</f>
        <v>69366749.510000005</v>
      </c>
      <c r="C98" s="25">
        <f t="shared" si="20"/>
        <v>71257834.760000005</v>
      </c>
      <c r="D98" s="25">
        <f t="shared" si="20"/>
        <v>156411.28</v>
      </c>
      <c r="E98" s="25">
        <f t="shared" si="20"/>
        <v>63007332.109999999</v>
      </c>
      <c r="F98" s="25">
        <f t="shared" si="20"/>
        <v>0.88635418134499522</v>
      </c>
      <c r="G98" s="25">
        <f t="shared" si="20"/>
        <v>12969478.749999998</v>
      </c>
      <c r="H98" s="25">
        <f t="shared" si="20"/>
        <v>14843603.800000001</v>
      </c>
      <c r="I98" s="25">
        <f t="shared" si="20"/>
        <v>6140031.1299999999</v>
      </c>
      <c r="J98" s="25">
        <f t="shared" si="20"/>
        <v>8014160.1799999988</v>
      </c>
      <c r="K98" s="25">
        <f t="shared" si="20"/>
        <v>12969474.75</v>
      </c>
      <c r="L98" s="27"/>
      <c r="M98" s="65">
        <f t="shared" si="11"/>
        <v>-3.9999999981373549</v>
      </c>
    </row>
    <row r="99" spans="1:13" x14ac:dyDescent="0.2">
      <c r="A99" s="9"/>
      <c r="B99" s="10">
        <v>0</v>
      </c>
      <c r="C99" s="10">
        <v>0</v>
      </c>
      <c r="D99" s="10"/>
      <c r="E99" s="10">
        <v>0</v>
      </c>
      <c r="F99" s="12">
        <v>0</v>
      </c>
      <c r="G99" s="10">
        <v>0</v>
      </c>
      <c r="H99" s="10">
        <v>0</v>
      </c>
      <c r="I99" s="10">
        <v>0</v>
      </c>
      <c r="J99" s="10">
        <v>0</v>
      </c>
      <c r="K99" s="10">
        <f>H99+I99-J99</f>
        <v>0</v>
      </c>
      <c r="L99" s="15"/>
      <c r="M99" s="65">
        <f>+K99-G99</f>
        <v>0</v>
      </c>
    </row>
    <row r="100" spans="1:13" x14ac:dyDescent="0.25">
      <c r="A100" s="24" t="s">
        <v>44</v>
      </c>
      <c r="B100" s="25">
        <f>+B98+B21</f>
        <v>137105315.59</v>
      </c>
      <c r="C100" s="25">
        <f t="shared" ref="C100:K100" si="21">+C98+C21</f>
        <v>109090437.41</v>
      </c>
      <c r="D100" s="25">
        <f t="shared" si="21"/>
        <v>156411.28</v>
      </c>
      <c r="E100" s="25">
        <f t="shared" si="21"/>
        <v>88307860.890000001</v>
      </c>
      <c r="F100" s="25">
        <f t="shared" si="21"/>
        <v>4.4053815779564856</v>
      </c>
      <c r="G100" s="25">
        <f t="shared" si="21"/>
        <v>25501552.619999997</v>
      </c>
      <c r="H100" s="25">
        <f t="shared" si="21"/>
        <v>27983488.84</v>
      </c>
      <c r="I100" s="25">
        <f t="shared" si="21"/>
        <v>6585627.0999999996</v>
      </c>
      <c r="J100" s="25">
        <f t="shared" si="21"/>
        <v>9060861.7899999991</v>
      </c>
      <c r="K100" s="25">
        <f t="shared" si="21"/>
        <v>25508254.149999999</v>
      </c>
      <c r="L100" s="27"/>
    </row>
    <row r="101" spans="1:13" x14ac:dyDescent="0.25">
      <c r="A101" s="28"/>
      <c r="B101" s="29"/>
      <c r="C101" s="29"/>
      <c r="D101" s="29"/>
      <c r="E101" s="28"/>
      <c r="F101" s="28"/>
      <c r="G101" s="28"/>
      <c r="H101" s="28"/>
      <c r="I101" s="28"/>
      <c r="J101" s="28"/>
      <c r="K101" s="28"/>
      <c r="L101" s="30"/>
    </row>
    <row r="102" spans="1:13" x14ac:dyDescent="0.25">
      <c r="A102" s="19"/>
      <c r="B102" s="19"/>
      <c r="C102" s="333" t="s">
        <v>45</v>
      </c>
      <c r="D102" s="333"/>
      <c r="E102" s="333"/>
      <c r="F102" s="333"/>
      <c r="G102" s="333"/>
      <c r="H102" s="333"/>
      <c r="I102" s="333"/>
      <c r="J102" s="19"/>
      <c r="K102" s="19"/>
      <c r="L102" s="19"/>
    </row>
    <row r="103" spans="1:13" x14ac:dyDescent="0.25">
      <c r="A103" s="19"/>
      <c r="B103" s="19"/>
      <c r="C103" s="55"/>
      <c r="D103" s="55"/>
      <c r="E103" s="55"/>
      <c r="F103" s="55"/>
      <c r="G103" s="55"/>
      <c r="H103" s="55"/>
      <c r="I103" s="55"/>
      <c r="J103" s="19"/>
      <c r="K103" s="19"/>
      <c r="L103" s="19"/>
    </row>
    <row r="104" spans="1:13" x14ac:dyDescent="0.25">
      <c r="A104" s="19"/>
      <c r="B104" s="325" t="s">
        <v>46</v>
      </c>
      <c r="C104" s="325"/>
      <c r="D104" s="326" t="s">
        <v>47</v>
      </c>
      <c r="E104" s="327"/>
      <c r="F104" s="328"/>
      <c r="G104" s="320" t="s">
        <v>48</v>
      </c>
      <c r="H104" s="320"/>
      <c r="I104" s="58" t="s">
        <v>10</v>
      </c>
      <c r="J104" s="19"/>
      <c r="K104" s="19"/>
      <c r="L104" s="19"/>
    </row>
    <row r="105" spans="1:13" x14ac:dyDescent="0.25">
      <c r="A105" s="19"/>
      <c r="B105" s="329" t="s">
        <v>49</v>
      </c>
      <c r="C105" s="329"/>
      <c r="D105" s="330">
        <v>8135543</v>
      </c>
      <c r="E105" s="331"/>
      <c r="F105" s="332">
        <v>0</v>
      </c>
      <c r="G105" s="330">
        <v>2004169</v>
      </c>
      <c r="H105" s="332"/>
      <c r="I105" s="33">
        <f>G105/D105</f>
        <v>0.2463472935979811</v>
      </c>
      <c r="J105" s="19"/>
      <c r="K105" s="19"/>
      <c r="L105" s="19"/>
    </row>
    <row r="106" spans="1:13" x14ac:dyDescent="0.25">
      <c r="A106" s="19"/>
      <c r="B106" s="320"/>
      <c r="C106" s="320"/>
      <c r="D106" s="321"/>
      <c r="E106" s="322"/>
      <c r="F106" s="323"/>
      <c r="G106" s="324"/>
      <c r="H106" s="324"/>
      <c r="I106" s="59"/>
      <c r="J106" s="19"/>
      <c r="K106" s="19"/>
      <c r="L106" s="19"/>
    </row>
    <row r="107" spans="1:13" x14ac:dyDescent="0.25">
      <c r="A107" s="19"/>
      <c r="B107" s="320"/>
      <c r="C107" s="320"/>
      <c r="D107" s="321"/>
      <c r="E107" s="322"/>
      <c r="F107" s="323"/>
      <c r="G107" s="324"/>
      <c r="H107" s="324"/>
      <c r="I107" s="59"/>
      <c r="J107" s="19"/>
      <c r="K107" s="19"/>
      <c r="L107" s="19"/>
    </row>
    <row r="108" spans="1:13" x14ac:dyDescent="0.25">
      <c r="A108" s="19"/>
      <c r="B108" s="320"/>
      <c r="C108" s="320"/>
      <c r="D108" s="321"/>
      <c r="E108" s="322"/>
      <c r="F108" s="323"/>
      <c r="G108" s="324"/>
      <c r="H108" s="324"/>
      <c r="I108" s="59"/>
      <c r="J108" s="19"/>
      <c r="K108" s="19"/>
      <c r="L108" s="19"/>
    </row>
    <row r="109" spans="1:13" x14ac:dyDescent="0.25">
      <c r="A109" s="35" t="s">
        <v>50</v>
      </c>
      <c r="B109" s="36"/>
      <c r="C109" s="36"/>
      <c r="D109" s="36"/>
      <c r="E109" s="36"/>
      <c r="F109" s="36"/>
      <c r="G109" s="37"/>
      <c r="H109" s="37"/>
      <c r="I109" s="38"/>
      <c r="J109" s="19"/>
      <c r="K109" s="19"/>
      <c r="L109" s="19"/>
    </row>
  </sheetData>
  <mergeCells count="31">
    <mergeCell ref="B108:C108"/>
    <mergeCell ref="D108:F108"/>
    <mergeCell ref="G108:H108"/>
    <mergeCell ref="B106:C106"/>
    <mergeCell ref="D106:F106"/>
    <mergeCell ref="G106:H106"/>
    <mergeCell ref="B107:C107"/>
    <mergeCell ref="D107:F107"/>
    <mergeCell ref="G107:H107"/>
    <mergeCell ref="B104:C104"/>
    <mergeCell ref="D104:F104"/>
    <mergeCell ref="G104:H104"/>
    <mergeCell ref="B105:C105"/>
    <mergeCell ref="D105:F105"/>
    <mergeCell ref="G105:H105"/>
    <mergeCell ref="C102:I102"/>
    <mergeCell ref="A1:L1"/>
    <mergeCell ref="A3:L3"/>
    <mergeCell ref="C6:G6"/>
    <mergeCell ref="H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MAR 16</vt:lpstr>
      <vt:lpstr>JUN 16</vt:lpstr>
      <vt:lpstr>SEP 16</vt:lpstr>
      <vt:lpstr>DIC 16</vt:lpstr>
      <vt:lpstr>ENE 17</vt:lpstr>
      <vt:lpstr>FEB17</vt:lpstr>
      <vt:lpstr>MAR 17</vt:lpstr>
      <vt:lpstr>ABRIL 17</vt:lpstr>
      <vt:lpstr>MAYO17</vt:lpstr>
      <vt:lpstr>JUNIO</vt:lpstr>
      <vt:lpstr>JULIO </vt:lpstr>
      <vt:lpstr>AGOSTO</vt:lpstr>
      <vt:lpstr>SEPT</vt:lpstr>
      <vt:lpstr>DIC 2017</vt:lpstr>
      <vt:lpstr>ENERO 2018</vt:lpstr>
      <vt:lpstr>FEBR 18</vt:lpstr>
      <vt:lpstr>MARZO 18</vt:lpstr>
      <vt:lpstr>ABRIL 18</vt:lpstr>
      <vt:lpstr>MAYO 18</vt:lpstr>
      <vt:lpstr>JUNIO 18</vt:lpstr>
      <vt:lpstr>JULIO 18</vt:lpstr>
      <vt:lpstr>AGOSTO 18</vt:lpstr>
      <vt:lpstr>OCTUBRE</vt:lpstr>
      <vt:lpstr>NOVIEMBRE</vt:lpstr>
      <vt:lpstr>DICIEMBRE</vt:lpstr>
      <vt:lpstr>ENERO 2019</vt:lpstr>
      <vt:lpstr>FEBR 2019</vt:lpstr>
      <vt:lpstr>MARZO 2019</vt:lpstr>
      <vt:lpstr>ABRIL 2019</vt:lpstr>
      <vt:lpstr>MAYO 19</vt:lpstr>
      <vt:lpstr>JUNIO 19</vt:lpstr>
      <vt:lpstr>JULIO19</vt:lpstr>
      <vt:lpstr>AGOSTO 19</vt:lpstr>
      <vt:lpstr>SEPTIEMBRE 19</vt:lpstr>
      <vt:lpstr>HOJA DE TRABAJO 2019</vt:lpstr>
      <vt:lpstr>HOJA DE TRABAJO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cp:lastPrinted>2018-10-09T09:21:58Z</cp:lastPrinted>
  <dcterms:created xsi:type="dcterms:W3CDTF">2017-02-16T20:41:02Z</dcterms:created>
  <dcterms:modified xsi:type="dcterms:W3CDTF">2019-10-09T19:00:58Z</dcterms:modified>
</cp:coreProperties>
</file>